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never" codeName="ThisWorkbook"/>
  <mc:AlternateContent xmlns:mc="http://schemas.openxmlformats.org/markup-compatibility/2006">
    <mc:Choice Requires="x15">
      <x15ac:absPath xmlns:x15ac="http://schemas.microsoft.com/office/spreadsheetml/2010/11/ac" url="https://d.docs.live.net/6a7a065f75d1a80f/Desktop/BEST502 Advanced LCA/Canada Fuel Life Cycle Assessment Model/tutorial/"/>
    </mc:Choice>
  </mc:AlternateContent>
  <xr:revisionPtr revIDLastSave="1578" documentId="14_{EB99441B-7827-413D-AB87-2556329FF041}" xr6:coauthVersionLast="47" xr6:coauthVersionMax="47" xr10:uidLastSave="{3E739C66-48FD-4AF4-A0E7-A31BFD27265C}"/>
  <bookViews>
    <workbookView minimized="1" xWindow="816" yWindow="1260" windowWidth="21600" windowHeight="11292" tabRatio="806" firstSheet="14" activeTab="18" xr2:uid="{00000000-000D-0000-FFFF-FFFF00000000}"/>
  </bookViews>
  <sheets>
    <sheet name="Cover page" sheetId="2" r:id="rId1"/>
    <sheet name="Readme" sheetId="3" r:id="rId2"/>
    <sheet name="General - LCIF Producer" sheetId="4" r:id="rId3"/>
    <sheet name="ECCC Parameters" sheetId="5" r:id="rId4"/>
    <sheet name="Corn (Global)" sheetId="6" r:id="rId5"/>
    <sheet name="Wheat (non-durum) (Global)" sheetId="46" r:id="rId6"/>
    <sheet name="Bioethanol" sheetId="8" r:id="rId7"/>
    <sheet name="Bioethanol Portions" sheetId="9" r:id="rId8"/>
    <sheet name="Animal feeds (WDGS)" sheetId="10" r:id="rId9"/>
    <sheet name="Animal feeds (DDGS)" sheetId="47" r:id="rId10"/>
    <sheet name="Animal feeds (WDGS) Portions" sheetId="11" r:id="rId11"/>
    <sheet name="Animal feeds (DDGS) Portions" sheetId="48" r:id="rId12"/>
    <sheet name="Natural gas" sheetId="12" r:id="rId13"/>
    <sheet name="Grid electricity (ON,CA)" sheetId="13" r:id="rId14"/>
    <sheet name="On-site Electricity (Solar)" sheetId="49" r:id="rId15"/>
    <sheet name="Pre-set Chemical Mix" sheetId="14" r:id="rId16"/>
    <sheet name="Allocation" sheetId="16" r:id="rId17"/>
    <sheet name="Bioethanol distribution" sheetId="17" r:id="rId18"/>
    <sheet name="Side Calc. - Corn transport" sheetId="53" r:id="rId19"/>
    <sheet name="Side Calc. - Wheat transport" sheetId="60" r:id="rId20"/>
    <sheet name="Side Calc. - Bioethanol" sheetId="54" r:id="rId21"/>
    <sheet name="Side Calc. - WDGS" sheetId="57" r:id="rId22"/>
    <sheet name="Side Calc. - DDGS" sheetId="58" r:id="rId23"/>
    <sheet name="Lists" sheetId="32" state="hidden" r:id="rId24"/>
  </sheets>
  <definedNames>
    <definedName name="FuelSpec_NG_HHV">'ECCC Parameters'!$D$67</definedName>
    <definedName name="MJ2BTU">'ECCC Parameters'!#REF!</definedName>
  </definedNames>
  <calcPr calcId="191028" iterate="1"/>
  <customWorkbookViews>
    <customWorkbookView name="BouchardMaadarani,Katherine (ECCC) - Personal View" guid="{A8E9A491-4491-4848-9959-58297999E6F5}" mergeInterval="0" personalView="1" maximized="1" xWindow="-926" yWindow="-2171" windowWidth="3862" windowHeight="2122" tabRatio="770" activeSheetId="1"/>
    <customWorkbookView name="Boelens,Ian (ECCC) - Personal View" guid="{CBE97499-8DE4-4834-9D9F-4D852DB24A20}" mergeInterval="0" personalView="1" maximized="1" xWindow="-8" yWindow="-8" windowWidth="1936" windowHeight="1056" tabRatio="940" activeSheetId="1"/>
    <customWorkbookView name="Lee,Jonathan (ECCC) - Personal View" guid="{BAC701C4-B534-4ABA-907B-FE30A3505B8B}" mergeInterval="0" personalView="1" maximized="1" xWindow="-8" yWindow="-8" windowWidth="1936" windowHeight="1056" tabRatio="770" activeSheetId="29"/>
    <customWorkbookView name="Amjoun,Houssam (ECCC) - Personal View" guid="{3F555A8F-379C-4D2D-833A-FF346FE5F044}" mergeInterval="0" personalView="1" maximized="1" xWindow="-1928" yWindow="-25" windowWidth="1936" windowHeight="1056" tabRatio="940" activeSheetId="31"/>
    <customWorkbookView name="Jula, Diana (ECCC) - Personal View" guid="{61CEA325-629A-4670-A66B-4314E031BBF1}" mergeInterval="0" personalView="1" maximized="1" xWindow="-8" yWindow="-8" windowWidth="1936" windowHeight="1056" tabRatio="770" activeSheetId="5"/>
  </customWorkbookView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 i="53" l="1"/>
  <c r="C40" i="53" s="1"/>
  <c r="A46" i="53"/>
  <c r="C29" i="10"/>
  <c r="C99" i="6"/>
  <c r="C63" i="6"/>
  <c r="C98" i="6" s="1"/>
  <c r="C104" i="6" s="1"/>
  <c r="B32" i="60"/>
  <c r="C32" i="60"/>
  <c r="E36" i="60" s="1"/>
  <c r="B32" i="53"/>
  <c r="C32" i="58"/>
  <c r="B32" i="58"/>
  <c r="C63" i="46" l="1"/>
  <c r="C39" i="53"/>
  <c r="C38" i="53"/>
  <c r="C37" i="53"/>
  <c r="C41" i="53"/>
  <c r="C36" i="53"/>
  <c r="C42" i="53"/>
  <c r="C69" i="49"/>
  <c r="C59" i="49"/>
  <c r="C69" i="13"/>
  <c r="C59" i="13"/>
  <c r="C63" i="12"/>
  <c r="F53" i="12"/>
  <c r="C64" i="8"/>
  <c r="G53" i="8"/>
  <c r="C20" i="8"/>
  <c r="C19" i="8"/>
  <c r="C29" i="47"/>
  <c r="C62" i="47" s="1"/>
  <c r="B32" i="57"/>
  <c r="C32" i="57" s="1"/>
  <c r="C32" i="54"/>
  <c r="B43" i="53"/>
  <c r="A49" i="53" s="1"/>
  <c r="B31" i="54"/>
  <c r="B30" i="54"/>
  <c r="B29" i="54"/>
  <c r="B28" i="54"/>
  <c r="B27" i="54"/>
  <c r="B26" i="54"/>
  <c r="B25" i="54"/>
  <c r="B24" i="54"/>
  <c r="B23" i="54"/>
  <c r="B22" i="54"/>
  <c r="B21" i="54"/>
  <c r="B20" i="54"/>
  <c r="B19" i="54"/>
  <c r="B18" i="54"/>
  <c r="B17" i="54"/>
  <c r="B16" i="54"/>
  <c r="B15" i="54"/>
  <c r="B14" i="54"/>
  <c r="B13" i="54"/>
  <c r="B12" i="54"/>
  <c r="B11" i="54"/>
  <c r="B10" i="54"/>
  <c r="B9" i="54"/>
  <c r="B8" i="54"/>
  <c r="C23" i="6"/>
  <c r="C43" i="53" l="1"/>
  <c r="B32" i="54"/>
  <c r="C63" i="10" l="1"/>
  <c r="C64" i="13"/>
  <c r="B36" i="60" l="1"/>
  <c r="C36" i="60" s="1"/>
  <c r="C62" i="10" l="1"/>
  <c r="F30" i="12"/>
  <c r="F31" i="12"/>
  <c r="F32" i="12"/>
  <c r="F33" i="12"/>
  <c r="F34" i="12"/>
  <c r="F35" i="12"/>
  <c r="F36" i="12"/>
  <c r="F37" i="12"/>
  <c r="F38" i="12"/>
  <c r="F39" i="12"/>
  <c r="F40" i="12"/>
  <c r="F41" i="12"/>
  <c r="F42" i="12"/>
  <c r="F43" i="12"/>
  <c r="F44" i="12"/>
  <c r="F45" i="12"/>
  <c r="F46" i="12"/>
  <c r="F47" i="12"/>
  <c r="F48" i="12"/>
  <c r="F49" i="12"/>
  <c r="F50" i="12"/>
  <c r="F51" i="12"/>
  <c r="F52" i="12"/>
  <c r="F29" i="12"/>
  <c r="G56" i="10"/>
  <c r="G34" i="10"/>
  <c r="G35" i="10"/>
  <c r="G36" i="10"/>
  <c r="G37" i="10"/>
  <c r="G38" i="10"/>
  <c r="G39" i="10"/>
  <c r="G40" i="10"/>
  <c r="G41" i="10"/>
  <c r="G42" i="10"/>
  <c r="G43" i="10"/>
  <c r="G44" i="10"/>
  <c r="G45" i="10"/>
  <c r="G46" i="10"/>
  <c r="G47" i="10"/>
  <c r="G48" i="10"/>
  <c r="G49" i="10"/>
  <c r="G50" i="10"/>
  <c r="G51" i="10"/>
  <c r="G52" i="10"/>
  <c r="G53" i="10"/>
  <c r="G54" i="10"/>
  <c r="G55" i="10"/>
  <c r="G33" i="10"/>
  <c r="G30" i="8"/>
  <c r="G31" i="8"/>
  <c r="G32" i="8"/>
  <c r="G33" i="8"/>
  <c r="G34" i="8"/>
  <c r="G35" i="8"/>
  <c r="G36" i="8"/>
  <c r="G37" i="8"/>
  <c r="G38" i="8"/>
  <c r="G39" i="8"/>
  <c r="G40" i="8"/>
  <c r="G41" i="8"/>
  <c r="G42" i="8"/>
  <c r="G43" i="8"/>
  <c r="G44" i="8"/>
  <c r="G45" i="8"/>
  <c r="G46" i="8"/>
  <c r="G47" i="8"/>
  <c r="G48" i="8"/>
  <c r="G49" i="8"/>
  <c r="G50" i="8"/>
  <c r="G51" i="8"/>
  <c r="G52" i="8"/>
  <c r="G29" i="8"/>
  <c r="F68" i="6"/>
  <c r="F69" i="6"/>
  <c r="F70" i="6"/>
  <c r="F71" i="6"/>
  <c r="F72" i="6"/>
  <c r="F73" i="6"/>
  <c r="F74" i="6"/>
  <c r="F75" i="6"/>
  <c r="F76" i="6"/>
  <c r="F77" i="6"/>
  <c r="F78" i="6"/>
  <c r="F79" i="6"/>
  <c r="F80" i="6"/>
  <c r="F81" i="6"/>
  <c r="F82" i="6"/>
  <c r="F83" i="6"/>
  <c r="F84" i="6"/>
  <c r="F85" i="6"/>
  <c r="F86" i="6"/>
  <c r="F87" i="6"/>
  <c r="F88" i="6"/>
  <c r="F89" i="6"/>
  <c r="F90" i="6"/>
  <c r="F67" i="6"/>
  <c r="G57" i="10" l="1"/>
  <c r="C69" i="10" s="1"/>
  <c r="D32" i="54"/>
  <c r="C21" i="47"/>
  <c r="C21" i="10"/>
  <c r="C35" i="17"/>
  <c r="C36" i="17"/>
  <c r="C37" i="17"/>
  <c r="C38" i="17"/>
  <c r="C39" i="17"/>
  <c r="C40" i="17"/>
  <c r="C33" i="17"/>
  <c r="C58" i="12" l="1"/>
  <c r="C17" i="17"/>
  <c r="C11" i="17"/>
  <c r="C58" i="8"/>
  <c r="C34" i="17"/>
  <c r="C18" i="9"/>
  <c r="F91" i="6"/>
  <c r="C32" i="46" l="1" a="1"/>
  <c r="C32" i="46" s="1"/>
  <c r="D104" i="6"/>
  <c r="B104" i="6"/>
  <c r="C15" i="16" l="1" a="1"/>
  <c r="C15" i="16" s="1"/>
  <c r="D13" i="48" l="1" a="1"/>
  <c r="D13" i="9" a="1"/>
  <c r="D13" i="11" a="1"/>
  <c r="C93" i="14"/>
  <c r="C20" i="16" s="1" a="1"/>
  <c r="C20" i="16" s="1"/>
  <c r="D13" i="9" l="1"/>
  <c r="D13" i="11"/>
  <c r="D27" i="11" s="1"/>
  <c r="D13" i="48"/>
  <c r="D27" i="48" s="1"/>
  <c r="C64" i="49"/>
  <c r="C10" i="13"/>
  <c r="D69" i="49"/>
  <c r="D64" i="49"/>
  <c r="D59" i="49"/>
  <c r="D58" i="49"/>
  <c r="D57" i="49"/>
  <c r="D56" i="49"/>
  <c r="D55" i="49"/>
  <c r="D54" i="49"/>
  <c r="D53" i="49"/>
  <c r="D52" i="49"/>
  <c r="D51" i="49"/>
  <c r="D50" i="49"/>
  <c r="D49" i="49"/>
  <c r="D48" i="49"/>
  <c r="D47" i="49"/>
  <c r="D46" i="49"/>
  <c r="D45" i="49"/>
  <c r="D44" i="49"/>
  <c r="D43" i="49"/>
  <c r="D42" i="49"/>
  <c r="D41" i="49"/>
  <c r="D40" i="49"/>
  <c r="D39" i="49"/>
  <c r="D38" i="49"/>
  <c r="D37" i="49"/>
  <c r="D36" i="49"/>
  <c r="D35" i="49"/>
  <c r="C10" i="49"/>
  <c r="B69" i="49" s="1"/>
  <c r="H15" i="48"/>
  <c r="D22" i="48" s="1"/>
  <c r="H15" i="11"/>
  <c r="C48" i="48"/>
  <c r="F27" i="48"/>
  <c r="C63" i="47"/>
  <c r="C22" i="47"/>
  <c r="C19" i="16" l="1" a="1"/>
  <c r="C19" i="16" s="1"/>
  <c r="C22" i="10" l="1"/>
  <c r="D63" i="47"/>
  <c r="B63" i="47"/>
  <c r="D62" i="47"/>
  <c r="H57" i="47"/>
  <c r="H56" i="47"/>
  <c r="G56" i="47"/>
  <c r="H55" i="47"/>
  <c r="G55" i="47"/>
  <c r="H54" i="47"/>
  <c r="G54" i="47"/>
  <c r="H53" i="47"/>
  <c r="G53" i="47"/>
  <c r="H52" i="47"/>
  <c r="G52" i="47"/>
  <c r="H51" i="47"/>
  <c r="G51" i="47"/>
  <c r="H50" i="47"/>
  <c r="G50" i="47"/>
  <c r="H49" i="47"/>
  <c r="G49" i="47"/>
  <c r="H48" i="47"/>
  <c r="G48" i="47"/>
  <c r="H47" i="47"/>
  <c r="G47" i="47"/>
  <c r="H46" i="47"/>
  <c r="G46" i="47"/>
  <c r="H45" i="47"/>
  <c r="G45" i="47"/>
  <c r="H44" i="47"/>
  <c r="G44" i="47"/>
  <c r="H43" i="47"/>
  <c r="G43" i="47"/>
  <c r="H42" i="47"/>
  <c r="G42" i="47"/>
  <c r="H41" i="47"/>
  <c r="G41" i="47"/>
  <c r="H40" i="47"/>
  <c r="G40" i="47"/>
  <c r="H39" i="47"/>
  <c r="G39" i="47"/>
  <c r="H38" i="47"/>
  <c r="G38" i="47"/>
  <c r="H37" i="47"/>
  <c r="G37" i="47"/>
  <c r="H36" i="47"/>
  <c r="G36" i="47"/>
  <c r="H35" i="47"/>
  <c r="G35" i="47"/>
  <c r="H34" i="47"/>
  <c r="G34" i="47"/>
  <c r="H33" i="47"/>
  <c r="G33" i="47"/>
  <c r="C13" i="47"/>
  <c r="C68" i="47" s="1"/>
  <c r="D23" i="46"/>
  <c r="C23" i="46"/>
  <c r="D104" i="46"/>
  <c r="D99" i="46"/>
  <c r="C99" i="46"/>
  <c r="B99" i="46"/>
  <c r="C98" i="46"/>
  <c r="G91" i="46"/>
  <c r="G90" i="46"/>
  <c r="F90" i="46"/>
  <c r="G89" i="46"/>
  <c r="F89" i="46"/>
  <c r="G88" i="46"/>
  <c r="F88" i="46"/>
  <c r="G87" i="46"/>
  <c r="F87" i="46"/>
  <c r="G86" i="46"/>
  <c r="F86" i="46"/>
  <c r="G85" i="46"/>
  <c r="F85" i="46"/>
  <c r="G84" i="46"/>
  <c r="F84" i="46"/>
  <c r="G83" i="46"/>
  <c r="F83" i="46"/>
  <c r="G82" i="46"/>
  <c r="F82" i="46"/>
  <c r="G81" i="46"/>
  <c r="F81" i="46"/>
  <c r="G80" i="46"/>
  <c r="F80" i="46"/>
  <c r="G79" i="46"/>
  <c r="F79" i="46"/>
  <c r="G78" i="46"/>
  <c r="F78" i="46"/>
  <c r="G77" i="46"/>
  <c r="F77" i="46"/>
  <c r="G76" i="46"/>
  <c r="F76" i="46"/>
  <c r="G75" i="46"/>
  <c r="F75" i="46"/>
  <c r="G74" i="46"/>
  <c r="F74" i="46"/>
  <c r="G73" i="46"/>
  <c r="F73" i="46"/>
  <c r="G72" i="46"/>
  <c r="F72" i="46"/>
  <c r="G71" i="46"/>
  <c r="F71" i="46"/>
  <c r="G70" i="46"/>
  <c r="F70" i="46"/>
  <c r="G69" i="46"/>
  <c r="F69" i="46"/>
  <c r="G68" i="46"/>
  <c r="F68" i="46"/>
  <c r="G67" i="46"/>
  <c r="F67" i="46"/>
  <c r="C57" i="46"/>
  <c r="C56" i="46"/>
  <c r="C55" i="46"/>
  <c r="C54" i="46"/>
  <c r="F51" i="46"/>
  <c r="E51" i="46"/>
  <c r="D51" i="46"/>
  <c r="F50" i="46"/>
  <c r="E50" i="46"/>
  <c r="D50" i="46"/>
  <c r="F49" i="46"/>
  <c r="E49" i="46"/>
  <c r="D49" i="46"/>
  <c r="F48" i="46"/>
  <c r="E48" i="46"/>
  <c r="D48" i="46"/>
  <c r="C43" i="46"/>
  <c r="C13" i="46"/>
  <c r="B104" i="46" s="1"/>
  <c r="D23" i="6"/>
  <c r="F91" i="46" l="1"/>
  <c r="G57" i="47"/>
  <c r="C69" i="47" s="1"/>
  <c r="C18" i="48" s="1"/>
  <c r="C104" i="46"/>
  <c r="C16" i="16" a="1"/>
  <c r="C16" i="16" s="1"/>
  <c r="E13" i="11" l="1" a="1"/>
  <c r="E13" i="9" a="1"/>
  <c r="E13" i="48" a="1"/>
  <c r="C42" i="14"/>
  <c r="C43" i="14"/>
  <c r="C44" i="14"/>
  <c r="C45" i="14"/>
  <c r="C41" i="14"/>
  <c r="E13" i="48" l="1"/>
  <c r="E27" i="48" s="1"/>
  <c r="H14" i="48"/>
  <c r="E13" i="9"/>
  <c r="H14" i="9"/>
  <c r="C21" i="9" s="1"/>
  <c r="E13" i="11"/>
  <c r="H14" i="11"/>
  <c r="C48" i="11"/>
  <c r="E48" i="6" l="1"/>
  <c r="D48" i="6" l="1"/>
  <c r="D49" i="6"/>
  <c r="D50" i="6"/>
  <c r="D51" i="6"/>
  <c r="C43" i="6" l="1"/>
  <c r="E49" i="6" l="1"/>
  <c r="E50" i="6"/>
  <c r="E51" i="6"/>
  <c r="F48" i="6"/>
  <c r="C54" i="6" s="1"/>
  <c r="F49" i="6"/>
  <c r="C55" i="6" s="1"/>
  <c r="F50" i="6"/>
  <c r="C56" i="6" s="1"/>
  <c r="F51" i="6"/>
  <c r="C57" i="6" s="1"/>
  <c r="D62" i="10" l="1"/>
  <c r="D63" i="10"/>
  <c r="C65" i="17" l="1"/>
  <c r="C66" i="17"/>
  <c r="C67" i="17"/>
  <c r="C68" i="17"/>
  <c r="C69" i="17"/>
  <c r="C70" i="17"/>
  <c r="C71" i="17"/>
  <c r="C72" i="17"/>
  <c r="D26" i="9" l="1"/>
  <c r="C11" i="8" l="1"/>
  <c r="D21" i="9" l="1"/>
  <c r="D22" i="11"/>
  <c r="G53" i="12" l="1"/>
  <c r="G30" i="12"/>
  <c r="G31" i="12"/>
  <c r="G32" i="12"/>
  <c r="G33" i="12"/>
  <c r="G34" i="12"/>
  <c r="G35" i="12"/>
  <c r="G36" i="12"/>
  <c r="G37" i="12"/>
  <c r="G38" i="12"/>
  <c r="G39" i="12"/>
  <c r="G40" i="12"/>
  <c r="G41" i="12"/>
  <c r="G42" i="12"/>
  <c r="G43" i="12"/>
  <c r="G44" i="12"/>
  <c r="G45" i="12"/>
  <c r="G46" i="12"/>
  <c r="G47" i="12"/>
  <c r="G48" i="12"/>
  <c r="G49" i="12"/>
  <c r="G50" i="12"/>
  <c r="G51" i="12"/>
  <c r="G52" i="12"/>
  <c r="G29" i="12"/>
  <c r="D59" i="13" l="1"/>
  <c r="B58" i="8"/>
  <c r="D89" i="14"/>
  <c r="B83" i="14"/>
  <c r="D83" i="14"/>
  <c r="D99" i="6"/>
  <c r="E26" i="9" l="1"/>
  <c r="F26" i="9"/>
  <c r="G54" i="14"/>
  <c r="G55" i="14"/>
  <c r="G56" i="14"/>
  <c r="G57" i="14"/>
  <c r="G58" i="14"/>
  <c r="G59" i="14"/>
  <c r="G60" i="14"/>
  <c r="G61" i="14"/>
  <c r="G62" i="14"/>
  <c r="G63" i="14"/>
  <c r="G64" i="14"/>
  <c r="G65" i="14"/>
  <c r="G66" i="14"/>
  <c r="G67" i="14"/>
  <c r="G68" i="14"/>
  <c r="G69" i="14"/>
  <c r="G70" i="14"/>
  <c r="G71" i="14"/>
  <c r="G72" i="14"/>
  <c r="G73" i="14"/>
  <c r="G74" i="14"/>
  <c r="G75" i="14"/>
  <c r="G76" i="14"/>
  <c r="G77" i="14"/>
  <c r="G53" i="14"/>
  <c r="D36" i="13"/>
  <c r="D37" i="13"/>
  <c r="D38" i="13"/>
  <c r="D39" i="13"/>
  <c r="D40" i="13"/>
  <c r="D41" i="13"/>
  <c r="D42" i="13"/>
  <c r="D43" i="13"/>
  <c r="D44" i="13"/>
  <c r="D45" i="13"/>
  <c r="D46" i="13"/>
  <c r="D47" i="13"/>
  <c r="D48" i="13"/>
  <c r="D49" i="13"/>
  <c r="D50" i="13"/>
  <c r="D51" i="13"/>
  <c r="D52" i="13"/>
  <c r="D53" i="13"/>
  <c r="D54" i="13"/>
  <c r="D55" i="13"/>
  <c r="D56" i="13"/>
  <c r="D57" i="13"/>
  <c r="D58" i="13"/>
  <c r="D35" i="13"/>
  <c r="G91" i="6"/>
  <c r="G68" i="6"/>
  <c r="G69" i="6"/>
  <c r="G70" i="6"/>
  <c r="G71" i="6"/>
  <c r="G72" i="6"/>
  <c r="G73" i="6"/>
  <c r="G74" i="6"/>
  <c r="G75" i="6"/>
  <c r="G76" i="6"/>
  <c r="G77" i="6"/>
  <c r="G78" i="6"/>
  <c r="G79" i="6"/>
  <c r="G80" i="6"/>
  <c r="G81" i="6"/>
  <c r="G82" i="6"/>
  <c r="G83" i="6"/>
  <c r="G84" i="6"/>
  <c r="G85" i="6"/>
  <c r="G86" i="6"/>
  <c r="G87" i="6"/>
  <c r="G88" i="6"/>
  <c r="G89" i="6"/>
  <c r="G90" i="6"/>
  <c r="G67" i="6"/>
  <c r="C13" i="6" l="1"/>
  <c r="B93" i="14" l="1"/>
  <c r="C10" i="14"/>
  <c r="H29" i="8" l="1"/>
  <c r="C44" i="17" l="1"/>
  <c r="J70" i="5" l="1"/>
  <c r="F70" i="5"/>
  <c r="C13" i="10"/>
  <c r="C68" i="10" s="1"/>
  <c r="C18" i="16" a="1"/>
  <c r="C18" i="16" s="1"/>
  <c r="B99" i="6" l="1"/>
  <c r="C9" i="12" l="1"/>
  <c r="B69" i="13"/>
  <c r="F53" i="14" l="1"/>
  <c r="E27" i="11" l="1"/>
  <c r="F27" i="11"/>
  <c r="D58" i="8" l="1"/>
  <c r="B63" i="12" l="1"/>
  <c r="B89" i="14"/>
  <c r="D64" i="13" l="1"/>
  <c r="D58" i="12"/>
  <c r="I69" i="16" l="1"/>
  <c r="F76" i="14" l="1"/>
  <c r="F75" i="14"/>
  <c r="F74" i="14"/>
  <c r="F73" i="14"/>
  <c r="F72" i="14"/>
  <c r="F71" i="14"/>
  <c r="F70" i="14"/>
  <c r="F69" i="14"/>
  <c r="F68" i="14"/>
  <c r="F67" i="14"/>
  <c r="F66" i="14"/>
  <c r="F65" i="14"/>
  <c r="F64" i="14"/>
  <c r="F63" i="14"/>
  <c r="F62" i="14"/>
  <c r="F61" i="14"/>
  <c r="F60" i="14"/>
  <c r="F59" i="14"/>
  <c r="F58" i="14"/>
  <c r="F57" i="14"/>
  <c r="F56" i="14"/>
  <c r="F55" i="14"/>
  <c r="F54" i="14"/>
  <c r="D69" i="13"/>
  <c r="D63" i="12"/>
  <c r="F77" i="14" l="1"/>
  <c r="C89" i="14" s="1"/>
  <c r="C17" i="16" a="1"/>
  <c r="C17" i="16" s="1"/>
  <c r="G68" i="16"/>
  <c r="H68" i="16"/>
  <c r="I68" i="16"/>
  <c r="J68" i="16"/>
  <c r="G69" i="16"/>
  <c r="H69" i="16"/>
  <c r="J69" i="16"/>
  <c r="G70" i="16"/>
  <c r="H70" i="16"/>
  <c r="I70" i="16"/>
  <c r="J70" i="16"/>
  <c r="G71" i="16"/>
  <c r="H71" i="16"/>
  <c r="I71" i="16"/>
  <c r="J71" i="16"/>
  <c r="H67" i="16"/>
  <c r="I67" i="16"/>
  <c r="J67" i="16"/>
  <c r="G67" i="16"/>
  <c r="H63" i="16"/>
  <c r="I63" i="16"/>
  <c r="J63" i="16"/>
  <c r="H64" i="16"/>
  <c r="I64" i="16"/>
  <c r="J64" i="16"/>
  <c r="H65" i="16"/>
  <c r="I65" i="16"/>
  <c r="J65" i="16"/>
  <c r="G64" i="16"/>
  <c r="G65" i="16"/>
  <c r="G63" i="16"/>
  <c r="C68" i="16"/>
  <c r="D68" i="16"/>
  <c r="E68" i="16"/>
  <c r="C69" i="16"/>
  <c r="D69" i="16"/>
  <c r="E69" i="16"/>
  <c r="C70" i="16"/>
  <c r="D70" i="16"/>
  <c r="E70" i="16"/>
  <c r="C71" i="16"/>
  <c r="D71" i="16"/>
  <c r="E71" i="16"/>
  <c r="D67" i="16"/>
  <c r="E67" i="16"/>
  <c r="C67" i="16"/>
  <c r="H33" i="10"/>
  <c r="B63" i="10" l="1"/>
  <c r="H57" i="10"/>
  <c r="H56" i="10"/>
  <c r="H55" i="10"/>
  <c r="H54" i="10"/>
  <c r="H53" i="10"/>
  <c r="H52" i="10"/>
  <c r="H51" i="10"/>
  <c r="H50" i="10"/>
  <c r="H49" i="10"/>
  <c r="H48" i="10"/>
  <c r="H47" i="10"/>
  <c r="H46" i="10"/>
  <c r="H45" i="10"/>
  <c r="H44" i="10"/>
  <c r="H43" i="10"/>
  <c r="H42" i="10"/>
  <c r="H41" i="10"/>
  <c r="H40" i="10"/>
  <c r="H39" i="10"/>
  <c r="H38" i="10"/>
  <c r="H37" i="10"/>
  <c r="H36" i="10"/>
  <c r="H35" i="10"/>
  <c r="H34" i="10"/>
  <c r="C18" i="11" l="1"/>
  <c r="C22" i="11" s="1"/>
  <c r="C63" i="8" l="1"/>
  <c r="H53" i="8"/>
  <c r="H52" i="8"/>
  <c r="H51" i="8"/>
  <c r="H50" i="8"/>
  <c r="H49" i="8"/>
  <c r="H48" i="8"/>
  <c r="H47" i="8"/>
  <c r="H46" i="8"/>
  <c r="H45" i="8"/>
  <c r="H44" i="8"/>
  <c r="H43" i="8"/>
  <c r="H42" i="8"/>
  <c r="H41" i="8"/>
  <c r="H40" i="8"/>
  <c r="H39" i="8"/>
  <c r="H38" i="8"/>
  <c r="H37" i="8"/>
  <c r="H36" i="8"/>
  <c r="H35" i="8"/>
  <c r="H34" i="8"/>
  <c r="H33" i="8"/>
  <c r="H32" i="8"/>
  <c r="H31" i="8"/>
  <c r="H30" i="8"/>
  <c r="C22" i="48" l="1"/>
  <c r="E28" i="11"/>
  <c r="J11" i="16" s="1" a="1"/>
  <c r="J11" i="16" s="1"/>
  <c r="M33" i="16"/>
  <c r="N33" i="16"/>
  <c r="O33" i="16"/>
  <c r="P33" i="16"/>
  <c r="Q33" i="16"/>
  <c r="M34" i="16"/>
  <c r="N34" i="16"/>
  <c r="O34" i="16"/>
  <c r="P34" i="16"/>
  <c r="Q34" i="16"/>
  <c r="M32" i="16"/>
  <c r="N32" i="16"/>
  <c r="O32" i="16"/>
  <c r="P32" i="16"/>
  <c r="Q32" i="16"/>
  <c r="C37" i="16"/>
  <c r="D37" i="16"/>
  <c r="E37" i="16"/>
  <c r="C38" i="16"/>
  <c r="D38" i="16"/>
  <c r="E38" i="16"/>
  <c r="C39" i="16"/>
  <c r="D39" i="16"/>
  <c r="E39" i="16"/>
  <c r="C40" i="16"/>
  <c r="D40" i="16"/>
  <c r="E40" i="16"/>
  <c r="C41" i="16"/>
  <c r="D41" i="16"/>
  <c r="E41" i="16"/>
  <c r="C42" i="16"/>
  <c r="D42" i="16"/>
  <c r="E42" i="16"/>
  <c r="C43" i="16"/>
  <c r="D43" i="16"/>
  <c r="E43" i="16"/>
  <c r="C44" i="16"/>
  <c r="D44" i="16"/>
  <c r="E44" i="16"/>
  <c r="C45" i="16"/>
  <c r="D45" i="16"/>
  <c r="E45" i="16"/>
  <c r="C46" i="16"/>
  <c r="D46" i="16"/>
  <c r="E46" i="16"/>
  <c r="C47" i="16"/>
  <c r="D47" i="16"/>
  <c r="E47" i="16"/>
  <c r="F28" i="11" l="1"/>
  <c r="D28" i="11"/>
  <c r="I11" i="16" s="1" a="1"/>
  <c r="I11" i="16" s="1"/>
  <c r="J32" i="16"/>
  <c r="J33" i="16"/>
  <c r="J34" i="16"/>
  <c r="D27" i="9"/>
  <c r="G11" i="16" s="1" a="1"/>
  <c r="G11" i="16" s="1"/>
  <c r="F27" i="9"/>
  <c r="E27" i="9"/>
  <c r="H11" i="16" s="1" a="1"/>
  <c r="H11" i="16" s="1"/>
  <c r="F28" i="48"/>
  <c r="D28" i="48"/>
  <c r="K11" i="16" s="1" a="1"/>
  <c r="K11" i="16" s="1"/>
  <c r="E28" i="48"/>
  <c r="L11" i="16" s="1" a="1"/>
  <c r="L11" i="16" s="1"/>
  <c r="C36" i="16"/>
  <c r="E36" i="16"/>
  <c r="D36" i="16"/>
  <c r="I32" i="16" l="1"/>
  <c r="G32" i="16"/>
  <c r="G34" i="16"/>
  <c r="G33" i="16"/>
  <c r="L32" i="16"/>
  <c r="L33" i="16"/>
  <c r="L34" i="16"/>
  <c r="K32" i="16"/>
  <c r="K34" i="16"/>
  <c r="K33" i="16"/>
  <c r="H32" i="16"/>
  <c r="H33" i="16"/>
  <c r="H34" i="16"/>
  <c r="I34" i="16" l="1"/>
  <c r="I33" i="16"/>
  <c r="L40" i="16" s="1"/>
  <c r="G43" i="16" l="1"/>
  <c r="K42" i="16"/>
  <c r="K41" i="16"/>
  <c r="H37" i="16"/>
  <c r="G39" i="16"/>
  <c r="I39" i="16"/>
  <c r="I38" i="16"/>
  <c r="I44" i="16"/>
  <c r="I43" i="16"/>
  <c r="I37" i="16"/>
  <c r="I36" i="16"/>
  <c r="I42" i="16"/>
  <c r="I41" i="16"/>
  <c r="I40" i="16"/>
  <c r="J42" i="16"/>
  <c r="G40" i="16"/>
  <c r="G44" i="16"/>
  <c r="K43" i="16"/>
  <c r="H39" i="16"/>
  <c r="H38" i="16"/>
  <c r="L41" i="16"/>
  <c r="M38" i="16"/>
  <c r="M42" i="16"/>
  <c r="K44" i="16"/>
  <c r="H40" i="16"/>
  <c r="L36" i="16"/>
  <c r="L42" i="16"/>
  <c r="K36" i="16"/>
  <c r="H41" i="16"/>
  <c r="L43" i="16"/>
  <c r="J38" i="16"/>
  <c r="M39" i="16"/>
  <c r="M40" i="16"/>
  <c r="M43" i="16"/>
  <c r="K37" i="16"/>
  <c r="H42" i="16"/>
  <c r="L44" i="16"/>
  <c r="J37" i="16"/>
  <c r="M37" i="16"/>
  <c r="M41" i="16"/>
  <c r="G37" i="16"/>
  <c r="K38" i="16"/>
  <c r="H36" i="16"/>
  <c r="L37" i="16"/>
  <c r="J36" i="16"/>
  <c r="J40" i="16"/>
  <c r="J41" i="16"/>
  <c r="G41" i="16"/>
  <c r="M36" i="16"/>
  <c r="K39" i="16"/>
  <c r="H43" i="16"/>
  <c r="L38" i="16"/>
  <c r="J43" i="16"/>
  <c r="G36" i="16"/>
  <c r="M44" i="16"/>
  <c r="G38" i="16"/>
  <c r="G42" i="16"/>
  <c r="J44" i="16"/>
  <c r="K40" i="16"/>
  <c r="H44" i="16"/>
  <c r="L39" i="16"/>
  <c r="J39" i="16"/>
  <c r="Q43" i="16"/>
  <c r="N40" i="16"/>
  <c r="Q44" i="16"/>
  <c r="P45" i="16"/>
  <c r="N37" i="16"/>
  <c r="J45" i="16"/>
  <c r="O38" i="16"/>
  <c r="L47" i="16"/>
  <c r="O42" i="16"/>
  <c r="P40" i="16"/>
  <c r="G47" i="16"/>
  <c r="O37" i="16"/>
  <c r="N46" i="16"/>
  <c r="P42" i="16"/>
  <c r="Q36" i="16"/>
  <c r="L46" i="16"/>
  <c r="K45" i="16"/>
  <c r="N43" i="16"/>
  <c r="Q47" i="16"/>
  <c r="P41" i="16"/>
  <c r="I45" i="16"/>
  <c r="P46" i="16"/>
  <c r="P37" i="16"/>
  <c r="O36" i="16"/>
  <c r="P47" i="16"/>
  <c r="I47" i="16"/>
  <c r="N41" i="16"/>
  <c r="K46" i="16"/>
  <c r="O46" i="16"/>
  <c r="Q42" i="16"/>
  <c r="G45" i="16"/>
  <c r="M45" i="16"/>
  <c r="Q45" i="16"/>
  <c r="O41" i="16"/>
  <c r="Q40" i="16"/>
  <c r="N38" i="16"/>
  <c r="H46" i="16"/>
  <c r="M47" i="16"/>
  <c r="N36" i="16"/>
  <c r="N47" i="16"/>
  <c r="G46" i="16"/>
  <c r="N42" i="16"/>
  <c r="Q37" i="16"/>
  <c r="J47" i="16"/>
  <c r="O39" i="16"/>
  <c r="H45" i="16"/>
  <c r="L45" i="16"/>
  <c r="N44" i="16"/>
  <c r="P38" i="16"/>
  <c r="O40" i="16"/>
  <c r="Q46" i="16"/>
  <c r="J46" i="16"/>
  <c r="N39" i="16"/>
  <c r="P43" i="16"/>
  <c r="P44" i="16"/>
  <c r="O45" i="16"/>
  <c r="P36" i="16"/>
  <c r="O47" i="16"/>
  <c r="N45" i="16"/>
  <c r="Q39" i="16"/>
  <c r="P39" i="16"/>
  <c r="H47" i="16"/>
  <c r="K47" i="16"/>
  <c r="O44" i="16"/>
  <c r="Q38" i="16"/>
  <c r="M46" i="16"/>
  <c r="Q41" i="16"/>
  <c r="I46" i="16"/>
  <c r="O43"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<sst xmlns="http://schemas.openxmlformats.org/spreadsheetml/2006/main" count="2639" uniqueCount="1042">
  <si>
    <t>Color code for cells</t>
  </si>
  <si>
    <t>Applicant data must be entered</t>
  </si>
  <si>
    <t>Value/information generated automatically, no applicant data must be entered</t>
  </si>
  <si>
    <t>Cell to copy in Allocation matrix in "Allocation" worksheet</t>
  </si>
  <si>
    <t>Value to add directly in the Fuel Pathway but not in the Allocation matrix (value is calculated automatically)</t>
  </si>
  <si>
    <t>Value to add directly in the Fuel Pathway but not in the Allocation matrix (value must be calculated manually by applicant)</t>
  </si>
  <si>
    <t>Name</t>
  </si>
  <si>
    <t>Name of element (to be used to rename generic names in Data Workbook and Fuel Pathway)</t>
  </si>
  <si>
    <t>Comment</t>
  </si>
  <si>
    <t>Comment included in the Data Workbook to provide additional information, clarification or instructions to applicant</t>
  </si>
  <si>
    <t>Intended application</t>
  </si>
  <si>
    <t>The Fuel Life Cycle Assessment (LCA) Model has been developed to model the life cycle of liquid and gaseous low-carbon-intensity fuels (LCIF) and other energy sources (e.g. electricity, hydrogen, fossil fuels, etc.).  The Fuel Life Cycle Assessment (LCA) Model must be used to calculate the carbon intensity (CI) of fuels under the Clean Fuel Regulations (CFR). The following documents and tools should be consulted and used in parallel if calculating a CI under the CFR:</t>
  </si>
  <si>
    <r>
      <t xml:space="preserve">•  The </t>
    </r>
    <r>
      <rPr>
        <b/>
        <sz val="11"/>
        <color theme="1"/>
        <rFont val="Calibri"/>
        <family val="2"/>
        <scheme val="minor"/>
      </rPr>
      <t>CFR Specifications for Fuel LCA Model CI Calculations</t>
    </r>
    <r>
      <rPr>
        <sz val="11"/>
        <color theme="1"/>
        <rFont val="Calibri"/>
        <family val="2"/>
        <scheme val="minor"/>
      </rPr>
      <t xml:space="preserve"> is the central document to consult to determine a CI value using the Fuel LCA Model. It provides the main instructions to enter data in the Data Workbook and in the Fuel LCA Model and specifies the main CI calculation rules. </t>
    </r>
  </si>
  <si>
    <r>
      <t>•</t>
    </r>
    <r>
      <rPr>
        <b/>
        <sz val="11"/>
        <color theme="1"/>
        <rFont val="Calibri"/>
        <family val="2"/>
        <scheme val="minor"/>
      </rPr>
      <t xml:space="preserve"> </t>
    </r>
    <r>
      <rPr>
        <sz val="11"/>
        <color theme="1"/>
        <rFont val="Calibri"/>
        <family val="2"/>
        <scheme val="minor"/>
      </rPr>
      <t xml:space="preserve">The </t>
    </r>
    <r>
      <rPr>
        <b/>
        <sz val="11"/>
        <color theme="1"/>
        <rFont val="Calibri"/>
        <family val="2"/>
        <scheme val="minor"/>
      </rPr>
      <t>CFR Supplemental Specifications</t>
    </r>
    <r>
      <rPr>
        <sz val="11"/>
        <color theme="1"/>
        <rFont val="Calibri"/>
        <family val="2"/>
        <scheme val="minor"/>
      </rPr>
      <t xml:space="preserve"> (Annex 2 of the CFR Specifications for Fuel LCA Model CI Calculations) provide additional specifications for each fuel, material input, or energy source being used to determine a CI value using an existing pathway from the Fuel LCA Model. It is recommended that the applicant first reads the main sections of this document to understand the general requirements to calculate a CI value. </t>
    </r>
  </si>
  <si>
    <r>
      <t xml:space="preserve">• The </t>
    </r>
    <r>
      <rPr>
        <b/>
        <sz val="11"/>
        <color theme="1"/>
        <rFont val="Calibri"/>
        <family val="2"/>
        <scheme val="minor"/>
      </rPr>
      <t>CFR Specifications for Fuel or Other Energy Source for Vehicles</t>
    </r>
    <r>
      <rPr>
        <sz val="11"/>
        <color theme="1"/>
        <rFont val="Calibri"/>
        <family val="2"/>
        <scheme val="minor"/>
      </rPr>
      <t xml:space="preserve"> (Annex 3 of the CFR Specifications for Fuel LCA Model CI Calculations) provide specifications for each fuel or other energy source for vehicles (FOESV) to determine a CI value using dedicated FOESV pathways from the Fuel LCA Model.  </t>
    </r>
  </si>
  <si>
    <r>
      <t xml:space="preserve">• The </t>
    </r>
    <r>
      <rPr>
        <b/>
        <sz val="11"/>
        <color theme="1"/>
        <rFont val="Calibri"/>
        <family val="2"/>
        <scheme val="minor"/>
      </rPr>
      <t>CFR Data Workbook</t>
    </r>
    <r>
      <rPr>
        <sz val="11"/>
        <color theme="1"/>
        <rFont val="Calibri"/>
        <family val="2"/>
        <scheme val="minor"/>
      </rPr>
      <t xml:space="preserve"> is a spreadsheet that helps convert applicant data into data for input into the Fuel LCA Model. For the purpose of the CFR, it must be used to carry out all calculations (i.e., unit conversion, calculation of allocation factors, etc.) prior to data entry in the Fuel LCA Model. For a new pathway, the CFR Data Workbook may require some modifications and must be submitted as part of the application.  </t>
    </r>
  </si>
  <si>
    <r>
      <t xml:space="preserve">• The </t>
    </r>
    <r>
      <rPr>
        <b/>
        <sz val="11"/>
        <color theme="1"/>
        <rFont val="Calibri"/>
        <family val="2"/>
        <scheme val="minor"/>
      </rPr>
      <t>GoC Fuel LCA Model Database</t>
    </r>
    <r>
      <rPr>
        <sz val="11"/>
        <color theme="1"/>
        <rFont val="Calibri"/>
        <family val="2"/>
        <scheme val="minor"/>
      </rPr>
      <t xml:space="preserve"> are the main components of the Fuel LCA Model that must be uploaded in the openLCA modelling software. The Data Library provides a selection of life cycle emission factors (called system processes) that can be used to populate predefined life cycle models stored in the Fuel Pathways folder of the Fuel LCA Model.  </t>
    </r>
  </si>
  <si>
    <r>
      <t xml:space="preserve">• The </t>
    </r>
    <r>
      <rPr>
        <b/>
        <sz val="11"/>
        <color theme="1"/>
        <rFont val="Calibri"/>
        <family val="2"/>
        <scheme val="minor"/>
      </rPr>
      <t>Fuel LCA Model User Manual</t>
    </r>
    <r>
      <rPr>
        <sz val="11"/>
        <color theme="1"/>
        <rFont val="Calibri"/>
        <family val="2"/>
        <scheme val="minor"/>
      </rPr>
      <t xml:space="preserve"> provides information about the concepts and terms used in this document (the CFR Specifications for Fuel LCA Model CI Calculations). It also provides technical guidance on how to perform basic operations in the openLCA software that are required for CI calculations. This document (the CFR Specifications for Fuel LCA Model CI Calculations) includes references to sections of the Fuel LCA Model User Manual.  </t>
    </r>
  </si>
  <si>
    <r>
      <t xml:space="preserve">• The </t>
    </r>
    <r>
      <rPr>
        <b/>
        <sz val="11"/>
        <color theme="1"/>
        <rFont val="Calibri"/>
        <family val="2"/>
        <scheme val="minor"/>
      </rPr>
      <t xml:space="preserve">Fuel LCA Model Methodology </t>
    </r>
    <r>
      <rPr>
        <sz val="11"/>
        <color theme="1"/>
        <rFont val="Calibri"/>
        <family val="2"/>
        <scheme val="minor"/>
      </rPr>
      <t xml:space="preserve">describes the methodology, data sources, and assumptions that were used in the development of the Fuel LCA Model and provides the rationale supporting the methodological approach. </t>
    </r>
  </si>
  <si>
    <t>Use this worksheet to describe the fuel production facility and fuels produced.</t>
  </si>
  <si>
    <t>Identification of fuel production facility</t>
  </si>
  <si>
    <t>Name of the fuel production facility</t>
  </si>
  <si>
    <t>Conventional Bioethanol Plant Example</t>
  </si>
  <si>
    <t>Location of the fuel production facility 
(province, US state or other country)</t>
  </si>
  <si>
    <t>Ontario, Canada</t>
  </si>
  <si>
    <t>Civic address or GPS coordinates of the facility</t>
  </si>
  <si>
    <t>123 Wellington Avenue, Toronto, ON, A1B 2C3</t>
  </si>
  <si>
    <t>Additional notes (optional)</t>
  </si>
  <si>
    <t>Description of fuel pathway</t>
  </si>
  <si>
    <t>Enter description of production technology</t>
  </si>
  <si>
    <t>Conventional bioethanol produced from corn and wheat (non durum)</t>
  </si>
  <si>
    <t>ex. Conventional bioethanol produced from grain crops.</t>
  </si>
  <si>
    <t>Type of fuel pathway used</t>
  </si>
  <si>
    <t>Existing fuel pathway</t>
  </si>
  <si>
    <t>If a CI application does not include any new pathway elements, select "Existing fuel pathway".
If a CI application includes an element in an approved new pathway application, select "New fuel pathway" and fill out the "Description of new pathway(s)" section.</t>
  </si>
  <si>
    <t>If "existing pathway" used, name of fuel pathway used</t>
  </si>
  <si>
    <t>Bioethanol</t>
  </si>
  <si>
    <t>Description of new pathway(s)</t>
  </si>
  <si>
    <t>New Pathway ID</t>
  </si>
  <si>
    <t>Description of new pathway(s) elements used in the CI application</t>
  </si>
  <si>
    <t>Explain the elements included in the new pathway that apply to the CI application.</t>
  </si>
  <si>
    <t>New Pathway Alphanumeric ID 1</t>
  </si>
  <si>
    <t>New Pathway Alphanumeric ID 2</t>
  </si>
  <si>
    <t>New Pathway Alphanumeric ID 3</t>
  </si>
  <si>
    <t>Add rows as needed</t>
  </si>
  <si>
    <t>List of fuel(s) produced at the facility</t>
  </si>
  <si>
    <t>Fuel type</t>
  </si>
  <si>
    <t>Is this fuel part of the application for carbon intensity determination?</t>
  </si>
  <si>
    <t>If a fuel is not part of the CI application, it must be treated as a co-product.</t>
  </si>
  <si>
    <t>Yes</t>
  </si>
  <si>
    <t>To be considered as a fuel, it must have been sold as a product to an external party.</t>
  </si>
  <si>
    <t>Select fuel type</t>
  </si>
  <si>
    <t>Select answer</t>
  </si>
  <si>
    <t>For new pathway application because a fuel type produced at the fuel production facility is not available in the Fuel LCA Model</t>
  </si>
  <si>
    <t>This section must only be filled by applicants who apply to a new pathway for a fuel type not available in the Fuel LCA Model.</t>
  </si>
  <si>
    <t>Is this fuel part of the application for a carbon intensity determination?</t>
  </si>
  <si>
    <t>Enter the new fuel type name here</t>
  </si>
  <si>
    <t>Reporting period</t>
  </si>
  <si>
    <t>Must cover a period of 24 months or a minimum of 3 months for a provisional CI.</t>
  </si>
  <si>
    <t>Month</t>
  </si>
  <si>
    <t>Year</t>
  </si>
  <si>
    <t>Beginning</t>
  </si>
  <si>
    <t>June</t>
  </si>
  <si>
    <t>End</t>
  </si>
  <si>
    <t>May</t>
  </si>
  <si>
    <t>Unit conversion</t>
  </si>
  <si>
    <t> </t>
  </si>
  <si>
    <t>Mass</t>
  </si>
  <si>
    <t>g</t>
  </si>
  <si>
    <t>kg</t>
  </si>
  <si>
    <t>metric tonne</t>
  </si>
  <si>
    <t>lb</t>
  </si>
  <si>
    <t>short ton</t>
  </si>
  <si>
    <t>long ton</t>
  </si>
  <si>
    <t>1 g =</t>
  </si>
  <si>
    <t>1 kg =</t>
  </si>
  <si>
    <t>1 metric tonne =</t>
  </si>
  <si>
    <t>1 lb =</t>
  </si>
  <si>
    <t>1 short ton =</t>
  </si>
  <si>
    <t>1 long ton =</t>
  </si>
  <si>
    <t>Volume</t>
  </si>
  <si>
    <t>m3</t>
  </si>
  <si>
    <t>ml</t>
  </si>
  <si>
    <t>L</t>
  </si>
  <si>
    <t>US gal</t>
  </si>
  <si>
    <t>Imp gal</t>
  </si>
  <si>
    <t>ft3</t>
  </si>
  <si>
    <t>bbl</t>
  </si>
  <si>
    <t xml:space="preserve">1 m3 = </t>
  </si>
  <si>
    <t xml:space="preserve">1 ml = </t>
  </si>
  <si>
    <t xml:space="preserve">1 L = </t>
  </si>
  <si>
    <t xml:space="preserve">1 US gal = </t>
  </si>
  <si>
    <t>1 Imp gal =</t>
  </si>
  <si>
    <t xml:space="preserve">1 ft3 = </t>
  </si>
  <si>
    <t xml:space="preserve">1 bbl = </t>
  </si>
  <si>
    <t>Energy</t>
  </si>
  <si>
    <t>J</t>
  </si>
  <si>
    <t>kJ</t>
  </si>
  <si>
    <t>MJ</t>
  </si>
  <si>
    <t>GJ</t>
  </si>
  <si>
    <t>Wh</t>
  </si>
  <si>
    <t>kWh</t>
  </si>
  <si>
    <t>MWh</t>
  </si>
  <si>
    <t>GWh</t>
  </si>
  <si>
    <t>BTU</t>
  </si>
  <si>
    <t>MMBtu</t>
  </si>
  <si>
    <t>kcal</t>
  </si>
  <si>
    <t xml:space="preserve">1 J = </t>
  </si>
  <si>
    <t xml:space="preserve">1kJ = </t>
  </si>
  <si>
    <t xml:space="preserve">1 MJ = </t>
  </si>
  <si>
    <t>1 GJ =</t>
  </si>
  <si>
    <t xml:space="preserve">1Wh = </t>
  </si>
  <si>
    <t xml:space="preserve">1 kWh = </t>
  </si>
  <si>
    <t xml:space="preserve">1 MWh = </t>
  </si>
  <si>
    <t xml:space="preserve">1 GWh = </t>
  </si>
  <si>
    <t xml:space="preserve">1 BTU = </t>
  </si>
  <si>
    <t xml:space="preserve">1 MMBtu = </t>
  </si>
  <si>
    <t xml:space="preserve">1 kcal = </t>
  </si>
  <si>
    <t xml:space="preserve"> </t>
  </si>
  <si>
    <t>Distance</t>
  </si>
  <si>
    <t>km</t>
  </si>
  <si>
    <t>mile</t>
  </si>
  <si>
    <t>nautical mile</t>
  </si>
  <si>
    <t>Feedstock</t>
  </si>
  <si>
    <t>Feedstock category</t>
  </si>
  <si>
    <t>Feedstock type</t>
  </si>
  <si>
    <t>Density</t>
  </si>
  <si>
    <t>Unit</t>
  </si>
  <si>
    <t>Source</t>
  </si>
  <si>
    <t>Grains</t>
  </si>
  <si>
    <t xml:space="preserve">Barley </t>
  </si>
  <si>
    <t>wet lbs/bushel</t>
  </si>
  <si>
    <t>US Grain Council - Converting Grain Units. Available at: https://grains.org/markets-tools-data/tools/converting-grain-units/</t>
  </si>
  <si>
    <t>Corn</t>
  </si>
  <si>
    <t>Wheat</t>
  </si>
  <si>
    <t>Sorghum</t>
  </si>
  <si>
    <t>Field peas</t>
  </si>
  <si>
    <t>Vegetable oils</t>
  </si>
  <si>
    <t>Corn oil</t>
  </si>
  <si>
    <t>kg/L</t>
  </si>
  <si>
    <t>GHGenius 5.01e (tab "Fuel Char"), based on density for canola oil</t>
  </si>
  <si>
    <t>Vegetable oil from oilseeds</t>
  </si>
  <si>
    <t>Animal byproducts and other oil feedstocks</t>
  </si>
  <si>
    <t>Animal fat</t>
  </si>
  <si>
    <t>GHGenius 5.01e (tab "Fuel Char"), based on density for tallow</t>
  </si>
  <si>
    <t>Raw used cooking oil (UCO)</t>
  </si>
  <si>
    <t>GHGenius 5.01e (tab "Fuel Char"), based on density for used oil</t>
  </si>
  <si>
    <t>Yellow grease</t>
  </si>
  <si>
    <t>GHGenius 5.01e (tab "Fuel Char")</t>
  </si>
  <si>
    <t>Wood fibres</t>
  </si>
  <si>
    <t>Wood chips, from unmerchantable logs</t>
  </si>
  <si>
    <t>dry lbs/ft3</t>
  </si>
  <si>
    <t>NRCAN's Solid Biofuels Bulletin No. 2"*</t>
  </si>
  <si>
    <t>Wood pellets, from sawmill co-products</t>
  </si>
  <si>
    <t>Wood pellets, from unmerchantable logs</t>
  </si>
  <si>
    <t>*: Density values for wood fibres are based on parameters from NRCAN's "Solid Biofuels Bulletin No. 2" (see Table 2). Available at: https://www.nrcan.gc.ca/sites/www.nrcan.gc.ca/files/NRCAN_BB_no2_e_indd.pdf</t>
  </si>
  <si>
    <t>Low carbon intensity fuels (LCIF)</t>
  </si>
  <si>
    <t>LCIF</t>
  </si>
  <si>
    <t>HHV (MJ/kg)*</t>
  </si>
  <si>
    <t>Density (kg/m3)*</t>
  </si>
  <si>
    <t>HHV (MJ/L)</t>
  </si>
  <si>
    <t xml:space="preserve">Developed by ECCC based on references used for the NIR </t>
  </si>
  <si>
    <t>calculated</t>
  </si>
  <si>
    <t>Biodiesel</t>
  </si>
  <si>
    <t>Biogas</t>
  </si>
  <si>
    <t>Assumed 50/50 mix of methane and CO2</t>
  </si>
  <si>
    <t>Hydrogenation derived renewable diesel (HDRD) / Renewable Diesel (RD)</t>
  </si>
  <si>
    <t>CA-GREET3.0 model ("Fuel_Specs" tab)</t>
  </si>
  <si>
    <t>Calculated based on GREET 2018. Refer to "HHV GREET Calcs.xlsx"</t>
  </si>
  <si>
    <t>Sustainable aviation fuel (SAF)</t>
  </si>
  <si>
    <t>CA-GREET3.0 model ("JetFuel_WTP" tab)</t>
  </si>
  <si>
    <t>Neste MY Sustainable Aviation Fuel Product Data Sheet</t>
  </si>
  <si>
    <t>Renewable propane, gaseous</t>
  </si>
  <si>
    <t>Assumed to be the same as fossil propane</t>
  </si>
  <si>
    <t>Assumed to be the same as fossil propane (gaseous)</t>
  </si>
  <si>
    <t>Renewable propane, liquid</t>
  </si>
  <si>
    <t>Renewable natural gas, gaseous</t>
  </si>
  <si>
    <t>Assumed to be the same as gaseous natural gas</t>
  </si>
  <si>
    <t>Renewable natural gas, liquid</t>
  </si>
  <si>
    <t>Assumed to be the same as liquid natural gas</t>
  </si>
  <si>
    <t>Hydrogen, gaseous</t>
  </si>
  <si>
    <t>NIST Chemistry WebBook, SRD 69</t>
  </si>
  <si>
    <t>Hydrogen, liquid</t>
  </si>
  <si>
    <t>*: for gaseous LCIFs, HHV and density are provided for a volume at standard conditions (15°C and 1 atm)</t>
  </si>
  <si>
    <t>Co-products</t>
  </si>
  <si>
    <t>Co-product</t>
  </si>
  <si>
    <t>HHV (MJ/kg dry basis)</t>
  </si>
  <si>
    <t>Density (kg/m3)</t>
  </si>
  <si>
    <t>Note</t>
  </si>
  <si>
    <t>Animal feed (including DDG, DDGS, MDG, MDGs, WDG,WDGS, gluten feed, gluten meal, germ)</t>
  </si>
  <si>
    <t>N/A</t>
  </si>
  <si>
    <r>
      <t>Morey et al. (2009)</t>
    </r>
    <r>
      <rPr>
        <vertAlign val="superscript"/>
        <sz val="11"/>
        <rFont val="Calibri"/>
        <family val="2"/>
      </rPr>
      <t>1</t>
    </r>
  </si>
  <si>
    <t>It is assumed that all animal feeds have the same HHV value based on the most conservative HHV for DGS from Morey et al. (2009).</t>
  </si>
  <si>
    <r>
      <t>EPA (2018)</t>
    </r>
    <r>
      <rPr>
        <vertAlign val="superscript"/>
        <sz val="11"/>
        <rFont val="Calibri"/>
        <family val="2"/>
      </rPr>
      <t>2</t>
    </r>
  </si>
  <si>
    <t xml:space="preserve">Syrup, thin sillage </t>
  </si>
  <si>
    <t>Lignin</t>
  </si>
  <si>
    <t>GHGenius 5.01e (tab "Coprods")</t>
  </si>
  <si>
    <t>Distillation bottoms</t>
  </si>
  <si>
    <t>GREET1_2022 ("Fuel_Specs" tab)</t>
  </si>
  <si>
    <t>Free fatty acids</t>
  </si>
  <si>
    <t>Glycerin</t>
  </si>
  <si>
    <t>Renewable hydrocarbon biofuels</t>
  </si>
  <si>
    <t>Biochar</t>
  </si>
  <si>
    <r>
      <rPr>
        <i/>
        <vertAlign val="superscript"/>
        <sz val="11"/>
        <rFont val="Calibri"/>
        <family val="2"/>
        <scheme val="minor"/>
      </rPr>
      <t>1</t>
    </r>
    <r>
      <rPr>
        <i/>
        <sz val="11"/>
        <rFont val="Calibri"/>
        <family val="2"/>
        <scheme val="minor"/>
      </rPr>
      <t xml:space="preserve">: R. V. Morey, D. L. Hatfield, R. Sears, D. Haak, D. G. Tiffany, &amp;amp; N. Kaliyan. (2009). Fuel properties of biomass feed streams at ethanol plants. Applied Engineering in Agriculture, 25(1), 57–64. https://doi.org/10.13031/2013.25421 </t>
    </r>
  </si>
  <si>
    <r>
      <rPr>
        <i/>
        <vertAlign val="superscript"/>
        <sz val="11"/>
        <color rgb="FF000000"/>
        <rFont val="Calibri"/>
        <family val="2"/>
      </rPr>
      <t>2</t>
    </r>
    <r>
      <rPr>
        <i/>
        <sz val="11"/>
        <color rgb="FF000000"/>
        <rFont val="Calibri"/>
        <family val="2"/>
      </rPr>
      <t>: EPA (2018). Emission Factors for Greenhouse Gas Inventories. Available at: https://www.epa.gov/sites/default/files/2018-03/documents/emission-factors_mar_2018_0.pdf</t>
    </r>
  </si>
  <si>
    <t>Material inputs</t>
  </si>
  <si>
    <t>Chemical</t>
  </si>
  <si>
    <t>Methanol</t>
  </si>
  <si>
    <t>Fuel inputs</t>
  </si>
  <si>
    <t>Type of energy fuel</t>
  </si>
  <si>
    <t>Energy fuel</t>
  </si>
  <si>
    <t>HHV (MJ/kg)</t>
  </si>
  <si>
    <t>Fossil fuels</t>
  </si>
  <si>
    <t>Aviation fuel</t>
  </si>
  <si>
    <t>Calculated</t>
  </si>
  <si>
    <t>Based on value from the NIR database</t>
  </si>
  <si>
    <t>Coal, bituminous</t>
  </si>
  <si>
    <t>-</t>
  </si>
  <si>
    <t>Coal, lignite</t>
  </si>
  <si>
    <t>Coal, sub-bituminous</t>
  </si>
  <si>
    <t>Diesel</t>
  </si>
  <si>
    <t>Gasoline</t>
  </si>
  <si>
    <t>Heavy fuel oil</t>
  </si>
  <si>
    <t>Kerosene</t>
  </si>
  <si>
    <t>Light fuel oil</t>
  </si>
  <si>
    <t>Liquefied petroleum gas (LPG)</t>
  </si>
  <si>
    <t>Natural gas, gaseous</t>
  </si>
  <si>
    <t>Enbridge. Learn about natural gas-Chemical composition of natural gas. Available at:https://www.enbridgegas.com/about-enbridge-gas/learn-about-natural-gas. Properties at standard conditions.</t>
  </si>
  <si>
    <t>Natural gas, liquid</t>
  </si>
  <si>
    <t>Petcoke</t>
  </si>
  <si>
    <t>Propane, gaseous</t>
  </si>
  <si>
    <t>Propane, liquid</t>
  </si>
  <si>
    <t>Stove oil</t>
  </si>
  <si>
    <t>Assumed to be the same as LFO</t>
  </si>
  <si>
    <t>Other energy sources</t>
  </si>
  <si>
    <t>Purchased steam</t>
  </si>
  <si>
    <t>GHGenius 5.01e</t>
  </si>
  <si>
    <t>Renewable fuels</t>
  </si>
  <si>
    <t>Pellets, from agricultural residues</t>
  </si>
  <si>
    <t>GREET 2018</t>
  </si>
  <si>
    <t>Wood chips from sawmill co-products</t>
  </si>
  <si>
    <r>
      <t>NRCAN's Solid Biofuels Bulletin No. 2"</t>
    </r>
    <r>
      <rPr>
        <vertAlign val="superscript"/>
        <sz val="11"/>
        <rFont val="Calibri"/>
        <family val="2"/>
      </rPr>
      <t>2</t>
    </r>
  </si>
  <si>
    <t>Wood pellets from sawmill co-products</t>
  </si>
  <si>
    <r>
      <t>1</t>
    </r>
    <r>
      <rPr>
        <i/>
        <sz val="11"/>
        <rFont val="Calibri"/>
        <family val="2"/>
      </rPr>
      <t>: HHV for corn stover pellets. Value taken from: United States Environmental Protection Agency. (2016). Greenhouse Gas Inventory Guidance - Direct Emissions from Stationary Combustion Sources. EPA Centre for Corporate Climate Leadership.</t>
    </r>
  </si>
  <si>
    <r>
      <t>2</t>
    </r>
    <r>
      <rPr>
        <i/>
        <sz val="11"/>
        <color rgb="FF000000"/>
        <rFont val="Calibri"/>
        <family val="2"/>
      </rPr>
      <t>: Density values for wood fibres are based on parameters from NRCAN's "Solid Biofuels Bulletin No. 2" (see Table 2). Available at: https://www.nrcan.gc.ca/sites/www.nrcan.gc.ca/files/NRCAN_BB_no2_e_indd.pdf</t>
    </r>
  </si>
  <si>
    <t>Feedstock Transportation Factor</t>
  </si>
  <si>
    <t>Type of Fuel</t>
  </si>
  <si>
    <t>Feedstock Type</t>
  </si>
  <si>
    <t>Transportation Type</t>
  </si>
  <si>
    <t>Factor (km)</t>
  </si>
  <si>
    <t>Cellulosic Bioethanol</t>
  </si>
  <si>
    <t>Agricultural residue</t>
  </si>
  <si>
    <t>Truck</t>
  </si>
  <si>
    <t>Waste, biogenic</t>
  </si>
  <si>
    <t>Rail</t>
  </si>
  <si>
    <t>Wood fibre</t>
  </si>
  <si>
    <t>Ship</t>
  </si>
  <si>
    <t>Conventional Bioethanol</t>
  </si>
  <si>
    <t>Animal fats</t>
  </si>
  <si>
    <t>Yellow grease and raw used cooking oil</t>
  </si>
  <si>
    <t>Vegetable oil</t>
  </si>
  <si>
    <t>Renewable Hydrocarbon Biofuel</t>
  </si>
  <si>
    <t>Wood chips/pellets</t>
  </si>
  <si>
    <t>Hydrogen (biomass gasification)</t>
  </si>
  <si>
    <t>Biogenic waste</t>
  </si>
  <si>
    <t>Fuel Distribution Transportation Factor</t>
  </si>
  <si>
    <t>Renewable gasoline 
Renewable diesel 
Sustainable aviation fuel 
Renewable naphtha 
Renewable propane (liquid)</t>
  </si>
  <si>
    <t>Avoided Emissions</t>
  </si>
  <si>
    <t>Excretion Rate and Maximum Methane Potential by Livestock Type</t>
  </si>
  <si>
    <t>Livestock Category</t>
  </si>
  <si>
    <t>VS
(kg/day per head)</t>
  </si>
  <si>
    <r>
      <t>B</t>
    </r>
    <r>
      <rPr>
        <b/>
        <vertAlign val="subscript"/>
        <sz val="11"/>
        <color rgb="FF000000"/>
        <rFont val="Calibri"/>
        <family val="2"/>
        <scheme val="minor"/>
      </rPr>
      <t xml:space="preserve">o
</t>
    </r>
    <r>
      <rPr>
        <b/>
        <sz val="11"/>
        <color rgb="FF000000"/>
        <rFont val="Calibri"/>
        <family val="2"/>
        <scheme val="minor"/>
      </rPr>
      <t>(m³ CH</t>
    </r>
    <r>
      <rPr>
        <b/>
        <vertAlign val="subscript"/>
        <sz val="11"/>
        <color rgb="FF000000"/>
        <rFont val="Calibri"/>
        <family val="2"/>
        <scheme val="minor"/>
      </rPr>
      <t>4</t>
    </r>
    <r>
      <rPr>
        <b/>
        <sz val="11"/>
        <color rgb="FF000000"/>
        <rFont val="Calibri"/>
        <family val="2"/>
        <scheme val="minor"/>
      </rPr>
      <t>/kg VS added)</t>
    </r>
  </si>
  <si>
    <t>Dairy Cattle</t>
  </si>
  <si>
    <t>Other Cattle</t>
  </si>
  <si>
    <t>Grow/Finish Swine</t>
  </si>
  <si>
    <t>Breeding Swine</t>
  </si>
  <si>
    <t>Chicken - Layers</t>
  </si>
  <si>
    <t>Chicken - Broilers</t>
  </si>
  <si>
    <t>Sheep and Lambs</t>
  </si>
  <si>
    <t>Mature Horses</t>
  </si>
  <si>
    <t>Goats</t>
  </si>
  <si>
    <t>Biogas Collection Efficiency by Digester Type</t>
  </si>
  <si>
    <t>Digester Type</t>
  </si>
  <si>
    <t>Methane Leakage</t>
  </si>
  <si>
    <t>Covered Lagoon</t>
  </si>
  <si>
    <t>Enclosed Vessel</t>
  </si>
  <si>
    <t>Parameters for Liquid Manure Management Systems</t>
  </si>
  <si>
    <t>Parameter:</t>
  </si>
  <si>
    <t>Value</t>
  </si>
  <si>
    <t>Units</t>
  </si>
  <si>
    <t>T1</t>
  </si>
  <si>
    <t xml:space="preserve">K </t>
  </si>
  <si>
    <t>Ea</t>
  </si>
  <si>
    <t>cal/mol</t>
  </si>
  <si>
    <t>R</t>
  </si>
  <si>
    <t>cal/K.mol</t>
  </si>
  <si>
    <t>Minimum T2</t>
  </si>
  <si>
    <t>C</t>
  </si>
  <si>
    <t>Damping T2</t>
  </si>
  <si>
    <t>Emptying efficiency</t>
  </si>
  <si>
    <t>%</t>
  </si>
  <si>
    <t>CH4 density</t>
  </si>
  <si>
    <t>kg/m3</t>
  </si>
  <si>
    <t>MCFs by Average Reporting Period Temperature (°C)</t>
  </si>
  <si>
    <t>MCF Values by Temperature for Manure Management Systems</t>
  </si>
  <si>
    <t>Cool</t>
  </si>
  <si>
    <t>Temperate</t>
  </si>
  <si>
    <t>Warm</t>
  </si>
  <si>
    <t>System</t>
  </si>
  <si>
    <t>≤10</t>
  </si>
  <si>
    <t>≥28</t>
  </si>
  <si>
    <t>Pasture/Range/Paddock</t>
  </si>
  <si>
    <t>Daily spread</t>
  </si>
  <si>
    <t>Solid storage</t>
  </si>
  <si>
    <t>Dry lot</t>
  </si>
  <si>
    <t>Pit storage below animal confinements (&lt;1 month)</t>
  </si>
  <si>
    <t>Pit storage below animal confinements (&gt;1 month)</t>
  </si>
  <si>
    <t>Cattle and swine deep bedding (&lt;1 month)</t>
  </si>
  <si>
    <t>Cattle and swine deep bedding (&gt;1 month)</t>
  </si>
  <si>
    <t>Composting - in-vessel or static pile</t>
  </si>
  <si>
    <t>Composting - passive or intensive windrow</t>
  </si>
  <si>
    <t>Burned for fuel</t>
  </si>
  <si>
    <t>Aerobic treatment</t>
  </si>
  <si>
    <t>Other Avoided Emission Factors</t>
  </si>
  <si>
    <t>Global Warming Potential of CH4, biogenic</t>
  </si>
  <si>
    <r>
      <t>g CO</t>
    </r>
    <r>
      <rPr>
        <vertAlign val="subscript"/>
        <sz val="11"/>
        <rFont val="Calibri"/>
        <family val="2"/>
        <scheme val="minor"/>
      </rPr>
      <t>2</t>
    </r>
    <r>
      <rPr>
        <sz val="11"/>
        <rFont val="Calibri"/>
        <family val="2"/>
        <scheme val="minor"/>
      </rPr>
      <t>/ g CH</t>
    </r>
    <r>
      <rPr>
        <vertAlign val="subscript"/>
        <sz val="11"/>
        <rFont val="Calibri"/>
        <family val="2"/>
        <scheme val="minor"/>
      </rPr>
      <t>4</t>
    </r>
  </si>
  <si>
    <r>
      <t>Global Warming Potential of N</t>
    </r>
    <r>
      <rPr>
        <vertAlign val="subscript"/>
        <sz val="11"/>
        <rFont val="Calibri"/>
        <family val="2"/>
        <scheme val="minor"/>
      </rPr>
      <t>2</t>
    </r>
    <r>
      <rPr>
        <sz val="11"/>
        <rFont val="Calibri"/>
        <family val="2"/>
        <scheme val="minor"/>
      </rPr>
      <t>O (2023 NIR, Table 1-1)</t>
    </r>
  </si>
  <si>
    <r>
      <t>g CO</t>
    </r>
    <r>
      <rPr>
        <vertAlign val="subscript"/>
        <sz val="11"/>
        <rFont val="Calibri"/>
        <family val="2"/>
        <scheme val="minor"/>
      </rPr>
      <t>2</t>
    </r>
    <r>
      <rPr>
        <sz val="11"/>
        <rFont val="Calibri"/>
        <family val="2"/>
        <scheme val="minor"/>
      </rPr>
      <t>/ g N</t>
    </r>
    <r>
      <rPr>
        <vertAlign val="subscript"/>
        <sz val="11"/>
        <rFont val="Calibri"/>
        <family val="2"/>
        <scheme val="minor"/>
      </rPr>
      <t>2</t>
    </r>
    <r>
      <rPr>
        <sz val="11"/>
        <rFont val="Calibri"/>
        <family val="2"/>
        <scheme val="minor"/>
      </rPr>
      <t>O</t>
    </r>
  </si>
  <si>
    <t>Waste Material Degradable Organic Carbon Content and Fraction of Degradable Organic Carbon That Does Decay</t>
  </si>
  <si>
    <t>Solid Organic Waste Type</t>
  </si>
  <si>
    <t xml:space="preserve">Degradable organic carbon content in waste (DOC), dry weigth 
(2006 IPCC, Vol 5, Ch. 2, Table 2.4) </t>
  </si>
  <si>
    <r>
      <t>Fraction of DOC that can/does decompose (DOC</t>
    </r>
    <r>
      <rPr>
        <vertAlign val="subscript"/>
        <sz val="11"/>
        <rFont val="Calibri"/>
        <family val="2"/>
        <scheme val="minor"/>
      </rPr>
      <t>f</t>
    </r>
    <r>
      <rPr>
        <sz val="11"/>
        <rFont val="Calibri"/>
        <family val="2"/>
        <scheme val="minor"/>
      </rPr>
      <t xml:space="preserve">)
(2019 Refinement to the 2006 IPCC, Vol 5, Ch. 3, Table 3.0) </t>
    </r>
  </si>
  <si>
    <t>Food Waste (FW)</t>
  </si>
  <si>
    <t>Yard &amp; Garden (YG)</t>
  </si>
  <si>
    <t>Other Solid Organic Waste (OSOW)</t>
  </si>
  <si>
    <t>user defined</t>
  </si>
  <si>
    <t>Model Parameters for Solid organic waste Landfill Emissions</t>
  </si>
  <si>
    <t>Source: 2023 NIR, Sections A3.6.1.2.1 and A3.6.1.2.2</t>
  </si>
  <si>
    <t>Fraction of CH4 by volume in landfill gas (FracCH4)</t>
  </si>
  <si>
    <t>Methane correction factor (MCF)</t>
  </si>
  <si>
    <t>National Landfill Gas Recovery (Flaring and Utilization) (%)</t>
  </si>
  <si>
    <t>Oxidation factor (OX) (%)</t>
  </si>
  <si>
    <r>
      <t>Flaring efficiency (Efcy</t>
    </r>
    <r>
      <rPr>
        <vertAlign val="subscript"/>
        <sz val="11"/>
        <rFont val="Calibri"/>
        <family val="2"/>
        <scheme val="minor"/>
      </rPr>
      <t>flr</t>
    </r>
    <r>
      <rPr>
        <sz val="11"/>
        <rFont val="Calibri"/>
        <family val="2"/>
        <scheme val="minor"/>
      </rPr>
      <t>) (%)</t>
    </r>
  </si>
  <si>
    <t>Model Parameters for Composting Emissions</t>
  </si>
  <si>
    <t>Solid Organic Waste type</t>
  </si>
  <si>
    <t>Section 4.3.2, GHG Calculator for Organic Waste Management: Methodology Report for Yard &amp; Garden
Section 6.3 Data / parameter, Tables 2 and 3, Methodological Tool 13 UNFCCC for Food Waste</t>
  </si>
  <si>
    <r>
      <t>Emission Factor for CH</t>
    </r>
    <r>
      <rPr>
        <vertAlign val="subscript"/>
        <sz val="11"/>
        <rFont val="Calibri"/>
        <family val="2"/>
        <scheme val="minor"/>
      </rPr>
      <t>4</t>
    </r>
    <r>
      <rPr>
        <sz val="11"/>
        <rFont val="Calibri"/>
        <family val="2"/>
        <scheme val="minor"/>
      </rPr>
      <t xml:space="preserve"> (g CH</t>
    </r>
    <r>
      <rPr>
        <vertAlign val="subscript"/>
        <sz val="11"/>
        <rFont val="Calibri"/>
        <family val="2"/>
        <scheme val="minor"/>
      </rPr>
      <t>4</t>
    </r>
    <r>
      <rPr>
        <sz val="11"/>
        <rFont val="Calibri"/>
        <family val="2"/>
        <scheme val="minor"/>
      </rPr>
      <t xml:space="preserve"> / kg waste), </t>
    </r>
    <r>
      <rPr>
        <b/>
        <sz val="11"/>
        <rFont val="Calibri"/>
        <family val="2"/>
        <scheme val="minor"/>
      </rPr>
      <t>dry</t>
    </r>
    <r>
      <rPr>
        <sz val="11"/>
        <rFont val="Calibri"/>
        <family val="2"/>
        <scheme val="minor"/>
      </rPr>
      <t xml:space="preserve"> </t>
    </r>
    <r>
      <rPr>
        <b/>
        <sz val="11"/>
        <rFont val="Calibri"/>
        <family val="2"/>
        <scheme val="minor"/>
      </rPr>
      <t>weight</t>
    </r>
  </si>
  <si>
    <r>
      <t>Emission Factor for N</t>
    </r>
    <r>
      <rPr>
        <vertAlign val="subscript"/>
        <sz val="11"/>
        <rFont val="Calibri"/>
        <family val="2"/>
        <scheme val="minor"/>
      </rPr>
      <t>2</t>
    </r>
    <r>
      <rPr>
        <sz val="11"/>
        <rFont val="Calibri"/>
        <family val="2"/>
        <scheme val="minor"/>
      </rPr>
      <t>O (g N</t>
    </r>
    <r>
      <rPr>
        <vertAlign val="subscript"/>
        <sz val="11"/>
        <rFont val="Calibri"/>
        <family val="2"/>
        <scheme val="minor"/>
      </rPr>
      <t>2</t>
    </r>
    <r>
      <rPr>
        <sz val="11"/>
        <rFont val="Calibri"/>
        <family val="2"/>
        <scheme val="minor"/>
      </rPr>
      <t xml:space="preserve">O / kg waste), </t>
    </r>
    <r>
      <rPr>
        <b/>
        <sz val="11"/>
        <rFont val="Calibri"/>
        <family val="2"/>
        <scheme val="minor"/>
      </rPr>
      <t>dry</t>
    </r>
    <r>
      <rPr>
        <sz val="11"/>
        <rFont val="Calibri"/>
        <family val="2"/>
        <scheme val="minor"/>
      </rPr>
      <t xml:space="preserve"> </t>
    </r>
    <r>
      <rPr>
        <b/>
        <sz val="11"/>
        <rFont val="Calibri"/>
        <family val="2"/>
        <scheme val="minor"/>
      </rPr>
      <t>weight</t>
    </r>
  </si>
  <si>
    <t>Pre-defined Moisture Content</t>
  </si>
  <si>
    <r>
      <t>Food, yard and garden and pre-defined source-separated organics waste</t>
    </r>
    <r>
      <rPr>
        <vertAlign val="superscript"/>
        <sz val="11"/>
        <rFont val="Calibri"/>
        <family val="2"/>
      </rPr>
      <t>1</t>
    </r>
  </si>
  <si>
    <t xml:space="preserve">1. Up to a maximum of 5% of wet weight of total solid organic waste. </t>
  </si>
  <si>
    <r>
      <t xml:space="preserve">2.  Refer to section A7.4.4 of the </t>
    </r>
    <r>
      <rPr>
        <i/>
        <sz val="11"/>
        <color theme="1"/>
        <rFont val="Calibri"/>
        <family val="2"/>
        <scheme val="minor"/>
      </rPr>
      <t>Specifications for Fuel LCA Model CI Calculations</t>
    </r>
    <r>
      <rPr>
        <sz val="11"/>
        <color theme="1"/>
        <rFont val="Calibri"/>
        <family val="2"/>
        <scheme val="minor"/>
      </rPr>
      <t xml:space="preserve"> for more information.</t>
    </r>
  </si>
  <si>
    <t>For detailed guidance on how to fill this worksheet, refer to sections 4.2 and 4.3 of the CFR Specifications for Fuel LCA Model CI Calculations.</t>
  </si>
  <si>
    <t>Fill the worksheet for each distinct feedstock expressed in mass units in the Fuel LCA Model.</t>
  </si>
  <si>
    <t>Different distinct feedstocks from a same feedstock type can be aggregated together and represented by the distinct feedstock with the highest carbon intensity value based (for more guidance, refer to Section 4.2 the CFR Specifications for Fuel LCA Model CI Calculations).</t>
  </si>
  <si>
    <t>Duplicate and rename worksheet for all distinct feedstocks used in the LCIF production.</t>
  </si>
  <si>
    <t>General information</t>
  </si>
  <si>
    <t>Description of the distinct feedstock</t>
  </si>
  <si>
    <t>Select feedstock type</t>
  </si>
  <si>
    <r>
      <rPr>
        <sz val="11"/>
        <color rgb="FF000000"/>
        <rFont val="Calibri"/>
        <family val="2"/>
      </rPr>
      <t xml:space="preserve">Region of feedstock </t>
    </r>
    <r>
      <rPr>
        <b/>
        <sz val="11"/>
        <color rgb="FF000000"/>
        <rFont val="Calibri"/>
        <family val="2"/>
      </rPr>
      <t>production</t>
    </r>
    <r>
      <rPr>
        <sz val="11"/>
        <color rgb="FF000000"/>
        <rFont val="Calibri"/>
        <family val="2"/>
      </rPr>
      <t xml:space="preserve"> (province/state/region/country/global)</t>
    </r>
  </si>
  <si>
    <t>Global</t>
  </si>
  <si>
    <t>If a feedstock is modeled from Data Library, the name of the region should correspond to the geographical resolution for which a system process exists for the selected feedstock type. For processed feedstocks (i.e. vegetable oil, animal fats and yellow grease) which require a processing step, applicants do not need to provide this information.</t>
  </si>
  <si>
    <r>
      <t xml:space="preserve">Region of feedstock </t>
    </r>
    <r>
      <rPr>
        <b/>
        <sz val="11"/>
        <color rgb="FF000000"/>
        <rFont val="Calibri"/>
        <family val="2"/>
        <scheme val="minor"/>
      </rPr>
      <t>processing</t>
    </r>
    <r>
      <rPr>
        <sz val="11"/>
        <color rgb="FF000000"/>
        <rFont val="Calibri"/>
        <family val="2"/>
        <scheme val="minor"/>
      </rPr>
      <t xml:space="preserve">
(province/state/country)</t>
    </r>
  </si>
  <si>
    <t>This only applies to processed feedstocks (i.e. vegetable oil, animal fats and yellow grease) that require a feedstock processing step.</t>
  </si>
  <si>
    <t>Feedstock name</t>
  </si>
  <si>
    <t>Change the name of this worksheet for this name. The name must also be used to rename the feedstock unit process and corresponding flow in the Fuel Pathway (i.e. Feedstock A, B, C etc.). Complete the "General information" section first.</t>
  </si>
  <si>
    <t>Source of feedstock CI</t>
  </si>
  <si>
    <t>System process from Data library</t>
  </si>
  <si>
    <t>Aggregate ON and IA Corn</t>
  </si>
  <si>
    <t>If feedstock type "New feedstock" selected, fill out these additional cells:</t>
  </si>
  <si>
    <t>Name of new feedstock</t>
  </si>
  <si>
    <t>Alphanumeric identifier of the approved new feedstock</t>
  </si>
  <si>
    <t>New feedstock CI, in g CO2e/MJ</t>
  </si>
  <si>
    <t>Feedstock properties</t>
  </si>
  <si>
    <t>Enter a value if required for feedstock quantity conversion. Use values from "ECCC Parameters" worksheet whenever available.</t>
  </si>
  <si>
    <t>Feedstock transportation</t>
  </si>
  <si>
    <t>For detailed guidance on how to fill this section, refer to section 4.3 of the CFR Specifications for Fuel LCA Model CI Calculations.</t>
  </si>
  <si>
    <t>Feedstock transportation modelling option</t>
  </si>
  <si>
    <t>Applicant data</t>
  </si>
  <si>
    <t>If Applicant data or Hybrid option (i.e. applicant data and predefined transport scenario) is selected:</t>
  </si>
  <si>
    <t>Transport</t>
  </si>
  <si>
    <t>Calculated transport amount for 1 kg (wet-basis) of feedstock transported</t>
  </si>
  <si>
    <t>Truck transport</t>
  </si>
  <si>
    <t>kg.km (Dry basis)</t>
  </si>
  <si>
    <t>The amounts of kg.km for 1 kg of feedstock transported along each leg are calculated by multiplying the distance traveled with the mass equivalent on a wet basis of 1 kg (dry basis) of feedstock (see equation below). Calculations must be provided in the “Side Calculations” worksheet.
If "Applicant data" is selected, these values must be entered as input amounts in the "Feedstock X, at [LCIF name] plant" unit process of the Fuel Pathway for each transport input flow.
If "Hybrid option (i.e. applicant data and predefined transport scenario)" is selected, please refer to the instructions in rows 45 to 57.</t>
  </si>
  <si>
    <t>Rail transport</t>
  </si>
  <si>
    <t>Ship transport</t>
  </si>
  <si>
    <t>If Predefined transport scenario or Hybrid option (i.e. applicant data and predefined transport scenario) is selected:</t>
  </si>
  <si>
    <t>Total Transport Amount</t>
  </si>
  <si>
    <t xml:space="preserve">If the result of the equation below is equal or less than 1 based on the applicant's qualitative assessment, select the "Low impact scenario". If the result is greater than 1, the applicant must select the "High impact scenario". The transportation factor of each fuel can be found in the "ECCC Parameters" worksheet. The calculations must be provided in the "Side Calculations" worksheet.
If a distinct feedstock is delivered from multiple suppliers and one of the transport cases falls under the "High impact scenario", the "High impact scenario" must be used for the total quantity of distinct feedstock transported. </t>
  </si>
  <si>
    <t>Select predefined transport scenario</t>
  </si>
  <si>
    <t xml:space="preserve">Select answer only if Alternate option is selected </t>
  </si>
  <si>
    <t>Amount equivalent to 1 kg of dry mass expressed on a wet basis by using the moisture content of the feedstock</t>
  </si>
  <si>
    <t xml:space="preserve">kg </t>
  </si>
  <si>
    <t xml:space="preserve">If "Predefined transport scenario" is selected, enter this value as an input amount in the "Feedstock X" unit process for the system process selected as "Predefined transport scenario" in the Data library.
If "Hybrid option (i.e. applicant data and predefined transport scenario)" is selected, please refer to the instructions in rows 45 to 57.
This calculation uses the moisture content of the transported feedstock that is entered in the "Feedstock quantities" section. If the moisture content varies between batches of feedstock received at the LCIF facility, an applicant can use an alternate calculation procedure to ensure that this value reflects an average moisture content of feedstock used for the production of the fuel. </t>
  </si>
  <si>
    <t>If Hybrid option (i.e. applicant data and predefined transport scenario) is selected:</t>
  </si>
  <si>
    <t>Feedstock quantity transported</t>
  </si>
  <si>
    <t>Basis (dry or wet)</t>
  </si>
  <si>
    <t>Fraction of total feedstock quantity received for each transport mode</t>
  </si>
  <si>
    <t>Enter feedstock quantity transported for this transportation mode. Quantities should be entered on the same basis (wet or dry) and in the same units as the quantities in the "Feedstock quantities" section.</t>
  </si>
  <si>
    <t>Predefined transport scenario</t>
  </si>
  <si>
    <t>Calculated transport amount</t>
  </si>
  <si>
    <t>kg.km</t>
  </si>
  <si>
    <t>These calculations use the "Feedstock received" that is entered in the "Feedstock quantities" section. 
These values must be entered as input amounts in the "Feedstock X , at [LCIF name] plant" unit process of the Fuel Pathway for each transport input flow.</t>
  </si>
  <si>
    <t>Feedstock quantities</t>
  </si>
  <si>
    <t>Select unit in which feedstock quantities are entered (mass or volume)</t>
  </si>
  <si>
    <t>tonnes</t>
  </si>
  <si>
    <t>Unit (mass or volume) must correspond to the unit in which feedstocks quantities are measured (e.g. if feedstock quantities from a feedstock supplier are measured in bushels, the feedstock quantities entered in the Data Workbook must be reported in bushels).</t>
  </si>
  <si>
    <t>Specify if unit is in dry or wet basis</t>
  </si>
  <si>
    <t>Wet basis</t>
  </si>
  <si>
    <t>Moisture content of transported feedstock, prior treatment at the LCIF plant (e.g. 0.12 or 12%)</t>
  </si>
  <si>
    <t>If the moisture content varies between batches of feedstock received at the LCIF facility, an applicant can use an alternate calculation procedure to ensure that total mass of feedstock on a dry basis calculated reflects the actual mass of feedstock used for the production of the fuel. Calculations must be included in the “Side Calculations” worksheet of the Data Workbook. For feedstocks that require a feedstock processing step (e.g. corn oil processed from corn), applicants must only provide the moisture content of the processed feedstock (i.e. corn oil).</t>
  </si>
  <si>
    <t>Reporting Month
(YYYY/MM)</t>
  </si>
  <si>
    <t>Feedstock, beginning inventory*</t>
  </si>
  <si>
    <t>Feedstock received*</t>
  </si>
  <si>
    <t>Feedstock, end inventory*</t>
  </si>
  <si>
    <t xml:space="preserve">Feedstock used </t>
  </si>
  <si>
    <t>*Applicant data must be entered in all column quantities. Do not leave any green cells blank (enter "0" where necessary).</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</si>
  <si>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</si>
  <si>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</si>
  <si>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</si>
  <si>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</si>
  <si>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</si>
  <si>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</si>
  <si>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</si>
  <si>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</si>
  <si>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</si>
  <si>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</si>
  <si>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</si>
  <si>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</si>
  <si>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</si>
  <si>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</si>
  <si>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</si>
  <si>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</si>
  <si>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</si>
  <si>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</si>
  <si>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</si>
  <si>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</si>
  <si>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</si>
  <si>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</si>
  <si>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</si>
  <si>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</si>
  <si>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Total feedstock quantity</t>
  </si>
  <si>
    <t>Conversion of feedstock quantities</t>
  </si>
  <si>
    <t>Mass-based unit (dry basis) or energy-based (transferred CI)</t>
  </si>
  <si>
    <t>Mass unit</t>
  </si>
  <si>
    <t>Mandatory unit for feedstock quantities in the Fuel LCA Model:</t>
  </si>
  <si>
    <t>t</t>
  </si>
  <si>
    <t>(Dry basis)</t>
  </si>
  <si>
    <t>Conversion factor from wet-basis to dry-basis</t>
  </si>
  <si>
    <t>kg (dry-basis)/kg (wet-basis)</t>
  </si>
  <si>
    <t>If the moisture content varies between batches of feedstock received at the LCIF facility, an applicant can use an alternate calculation procedure to ensure that conversion factor from wet-basis to dry-basis used reflects the actual mass of feedstock used for the production of the fuel.</t>
  </si>
  <si>
    <t xml:space="preserve">Use values from "ECCC Parameters" worksheet for feedstock types of the Data library or approved values for new feedstock from a new pathway application. This parameter can be calculated from several parameters. </t>
  </si>
  <si>
    <t>Information to copy in the Allocation matrix</t>
  </si>
  <si>
    <t>Unit (dry-basis)</t>
  </si>
  <si>
    <t>Copy these orange cells in a row of the Allocation matrix (see "Allocation" worksheet).</t>
  </si>
  <si>
    <t>Allocation Sheet</t>
  </si>
  <si>
    <t>Wheat (non-durum)</t>
  </si>
  <si>
    <t>For detailed guidance on how to fill this worksheet, refer to Section 4.4 of the CFR Specifications for Fuel LCA Model CI Calculations.</t>
  </si>
  <si>
    <t>Fill the worksheet for each fuel produced at the production facility.</t>
  </si>
  <si>
    <t>Duplicate and rename worksheet for all fuels.</t>
  </si>
  <si>
    <t>Fuel type and fuel name should match information entered in the "General - LCIF producer" worksheet.</t>
  </si>
  <si>
    <t>Description of the fuel</t>
  </si>
  <si>
    <t>Fuel name</t>
  </si>
  <si>
    <t>Change the name of this worksheet for this name.</t>
  </si>
  <si>
    <t>If fuel type "New fuel" selected, fill out these additional cells</t>
  </si>
  <si>
    <t>Name of the new fuel</t>
  </si>
  <si>
    <t>Alphanumeric identifier of the approved new pathway</t>
  </si>
  <si>
    <t>Fuel properties</t>
  </si>
  <si>
    <t>HHV of fuel</t>
  </si>
  <si>
    <t>MJ/kg</t>
  </si>
  <si>
    <r>
      <t>Copy values from "ECCC Parameters" worksheet for existing fuel types (or calculated/measured value</t>
    </r>
    <r>
      <rPr>
        <i/>
        <sz val="11"/>
        <color theme="1" tint="0.34998626667073579"/>
        <rFont val="Calibri"/>
        <family val="2"/>
        <scheme val="minor"/>
      </rPr>
      <t>s referred to in section 3.3.1 of the Specifications or otherwise referred to in the CFR Supplemental Specifications)</t>
    </r>
    <r>
      <rPr>
        <i/>
        <sz val="11"/>
        <color theme="6" tint="-0.499984740745262"/>
        <rFont val="Calibri"/>
        <family val="2"/>
        <scheme val="minor"/>
      </rPr>
      <t xml:space="preserve">. </t>
    </r>
  </si>
  <si>
    <t>Density of fuel</t>
  </si>
  <si>
    <t>Enter a value if required for fuel quantity conversion. Use values from "ECCC Parameters" worksheet whenever available.</t>
  </si>
  <si>
    <t>Methane content (%)</t>
  </si>
  <si>
    <t>Enter a value if the selected fuel type is "Biogas"</t>
  </si>
  <si>
    <t>Fuel quantities</t>
  </si>
  <si>
    <t xml:space="preserve">Select unit in which fuel quantities are entered </t>
  </si>
  <si>
    <t>Unit must correspond to the unit in which fuel quantities are measured.</t>
  </si>
  <si>
    <t>Fuel, beginning inventory*</t>
  </si>
  <si>
    <t>Fuel sales*</t>
  </si>
  <si>
    <t>Fuel, end inventory*</t>
  </si>
  <si>
    <t>Fuel consumed at the plant*</t>
  </si>
  <si>
    <t>Fuel produced</t>
  </si>
  <si>
    <t>Total fuel quantities</t>
  </si>
  <si>
    <t>Conversion of fuel quantities</t>
  </si>
  <si>
    <t>Mandatory unit for fuel amount in the Fuel LCA Model: MJ</t>
  </si>
  <si>
    <t xml:space="preserve">Use only values from "ECCC Parameters" worksheet for existing fuel types or approved values for new fuel from a new pathway application. This parameter can be calculated from several parameters. </t>
  </si>
  <si>
    <t>Information to copy in the Allocation Matrix</t>
  </si>
  <si>
    <t>If only one distinct feedstock is used for the production of this fuel, copy these orange cells in the Allocation matrix (see "Allocation" worksheet). Otherwise, fill the "Fuel Portions" worksheet and do not copy these cells in the Allocation matrix.</t>
  </si>
  <si>
    <t>Total fuel quantity</t>
  </si>
  <si>
    <t>For cases where a fuel is produced from more than one distinct feedstock, this worksheet must be filled in order to allocate the total amount of fuel to each distinct feedstock.</t>
  </si>
  <si>
    <t>For detailed guidance on how to fill this worksheet, refer to section 4.4 of the CFR Specifications for Fuel LCA Model CI Calculations.</t>
  </si>
  <si>
    <t xml:space="preserve">Fill a worksheet for each fuel produced from multiple distinct feedstocks by duplicating and renaming this worksheet. </t>
  </si>
  <si>
    <t>An example of calculation is provided at the bottom of the worksheet.</t>
  </si>
  <si>
    <t xml:space="preserve">Calculating portions of fuels </t>
  </si>
  <si>
    <t>Provide fuel name (same name as in corresponding "Fuel" worksheet).</t>
  </si>
  <si>
    <t>Provide quantities only for feedstocks related to the fuel of interest. Ensure that the units are the same between each column.</t>
  </si>
  <si>
    <t>Replace Feedstock A,B,C with feedstock name that appears in the corresponding Feedstock worksheet.</t>
  </si>
  <si>
    <t>Feedstock C</t>
  </si>
  <si>
    <t>Add column as required for additional distinct feedstock inputs.</t>
  </si>
  <si>
    <t>Copy in the green cells the "Total feedstock quantity" (orange cell) of the corresponding Feedstock (mass or energy) worksheet.</t>
  </si>
  <si>
    <t>Quantity</t>
  </si>
  <si>
    <t>Leave this cell blank, do not use, add column to the left of this column.</t>
  </si>
  <si>
    <t>Copy in the green cells the unit of "Total feedstock quantity" (orange cell) of the corresponding Feedstock (mass or energy) worksheet. If mass-based, the unit should be on dry basis.</t>
  </si>
  <si>
    <t>Copy here the total amount of fuel produced from the corresponding "Fuel" worksheet:</t>
  </si>
  <si>
    <t>Total quantity of fuel produced</t>
  </si>
  <si>
    <t>Calculated facility’s average fuel yield:</t>
  </si>
  <si>
    <t>Average yield at LCIF production facility</t>
  </si>
  <si>
    <t xml:space="preserve">Copy orange cells in the Allocation matrix (see "Allocation" worksheet). </t>
  </si>
  <si>
    <t>Name of fuel portion</t>
  </si>
  <si>
    <t>Fuel portion quantity</t>
  </si>
  <si>
    <t>Example 1</t>
  </si>
  <si>
    <t>Case where 2 distinct feedstocks are used to produce bioethanol.</t>
  </si>
  <si>
    <t>If more than one LCIF are produced, which LCIF is covered in this sheet?</t>
  </si>
  <si>
    <t>Feedstock amounts</t>
  </si>
  <si>
    <t xml:space="preserve">Corn </t>
  </si>
  <si>
    <t>kg (dry basis)</t>
  </si>
  <si>
    <t>Average yield at LCIF plant</t>
  </si>
  <si>
    <t>MJ/kg (dry basis)</t>
  </si>
  <si>
    <t>Bioethanol portions</t>
  </si>
  <si>
    <t>Bioethanol from Corn</t>
  </si>
  <si>
    <t>Bioethanol from Wheat</t>
  </si>
  <si>
    <t>For detailed guidance on how to fill this worksheet, refer to section 4.5 of the CFR Specifications for Fuel LCA Model CI Calculations.</t>
  </si>
  <si>
    <t>Fill the worksheet for each co-product produced at the production facility.</t>
  </si>
  <si>
    <t>Duplicate and rename this worksheet for each co-product.</t>
  </si>
  <si>
    <t>To be considered as a co-product, the production output must have been sold to external party.</t>
  </si>
  <si>
    <t>If a co-product at the production facility is a fuel that is not part of the CI application and it has been sold to an external party, it is considered a co-product and must be treated as a co-product.</t>
  </si>
  <si>
    <t>Co-product description</t>
  </si>
  <si>
    <t>Select co-product type</t>
  </si>
  <si>
    <t>Animal feeds</t>
  </si>
  <si>
    <t>The CFR Supplemental Specifications specify which co-products can be included in a fuel pathway for any given fuel.</t>
  </si>
  <si>
    <t>Co-product name</t>
  </si>
  <si>
    <t>WDGS</t>
  </si>
  <si>
    <t>If co-product type "New co-product" selected, fill out these additional cells:</t>
  </si>
  <si>
    <t>Name of the new co-product</t>
  </si>
  <si>
    <t>Alphanumeric identifier of the new pathway</t>
  </si>
  <si>
    <t>Co-product properties</t>
  </si>
  <si>
    <t>HHV of co-product</t>
  </si>
  <si>
    <t xml:space="preserve">Copy values from "ECCC Parameters" worksheet for existing co-product types (or approved values for new co-products in the case of a new pathway application). </t>
  </si>
  <si>
    <t>Density of co-product (kg/m3)</t>
  </si>
  <si>
    <t>Enter a value if required for co-product quantity conversion. Use values from "ECCC Parameters" worksheet whenever available.</t>
  </si>
  <si>
    <t>Co-product quantities</t>
  </si>
  <si>
    <t>Select unit in which co-product quantities are entered (mass, volume or energy)</t>
  </si>
  <si>
    <t>Must correspond to the units in which co-product quantities are measured.</t>
  </si>
  <si>
    <t>Moisture content of co-product (if applicable) (e.g. 0.12 or 12%)</t>
  </si>
  <si>
    <t>If the moisture content varies between batches of co-product produced at the LCIF facility, an applicant can use an alternate calculation procedure to ensure that total mass of co-product on a dry basis calculated reflects the actual mass of co-product produced. Calculations must be included in the “Side Calculations” worksheet of the Data Workbook.</t>
  </si>
  <si>
    <t>Co-product, beginning inventory*</t>
  </si>
  <si>
    <t>Co-product sales*</t>
  </si>
  <si>
    <t>Co-product, end inventory*</t>
  </si>
  <si>
    <t>Co-product consumed at the plant*</t>
  </si>
  <si>
    <t>Co-product produced</t>
  </si>
  <si>
    <t>Total co-product</t>
  </si>
  <si>
    <t>Conversion of co-product quantities</t>
  </si>
  <si>
    <t xml:space="preserve">Mandatory unit for co-product amounts in the Fuel LCA Model </t>
  </si>
  <si>
    <t>If the moisture content varies between batches of co-product produced at the LCIF facility, an applicant can use an alternate calculation procedure to ensure that conversion factor from wet-basis to dry-basis used reflects the actual mass of co-product produced.  Calculations must be included in the “Side Calculations” worksheet of the Data Workbook.</t>
  </si>
  <si>
    <t xml:space="preserve">Use only values from "ECCC Parameters" worksheet for existing co-product types or approved values for new co-product from a new pathway application. This parameter can be calculated from several parameters. Ensure that the moisture content of the co-product (dry basis conversion) is taken in consideration. </t>
  </si>
  <si>
    <t>If only one distinct feedstock is linked to the production of this co-product, copy these orange cells in a column of the Allocation matrix (see "Allocation" worksheet). Otherwise,  fill the "Co-Product Portions" worksheet and do not copy these cells in the Allocation matrix.</t>
  </si>
  <si>
    <t>Total quantity of co-product</t>
  </si>
  <si>
    <t>DDGS</t>
  </si>
  <si>
    <t>For cases where a co-product is produced from more than one distinct feedstock, this worksheet must be filled in order to allocate the total amount of co-product to each distinct feedstock.</t>
  </si>
  <si>
    <t xml:space="preserve">Fill a worksheet for each co-product produced from multiple distinct feedtsocks by duplicating and renaming this worksheet. </t>
  </si>
  <si>
    <t>Calculating portions of co-products</t>
  </si>
  <si>
    <t>Animal feeds (WDGS)</t>
  </si>
  <si>
    <t>Provide co-product (same name as in "Co-product" worksheet).</t>
  </si>
  <si>
    <t>Provide quantities only for feedstocks related to the coproduct of interest. Ensure that the units are the same between each column.</t>
  </si>
  <si>
    <t>Replace feedstock A, B, C with feedstock name that appears in the corresponding Feedstock worksheet.</t>
  </si>
  <si>
    <t>Copy here the "Total feedstock quantity" (orange cell) of the corresponding Feedstock (mass or energy) worksheet.</t>
  </si>
  <si>
    <t>Leave this cell blank, do not use, add column to the left of this cell.</t>
  </si>
  <si>
    <t>Copy here the unit of "Total feedstock quantity" (orange cell) of the corresponding Feedstock (mass or energy) worksheet. If mass-based, the unit should be on dry basis.</t>
  </si>
  <si>
    <t>Copy here the total amount of co-product produced from the "Co-product" worksheet:</t>
  </si>
  <si>
    <t>Total quantity of co-product produced</t>
  </si>
  <si>
    <t>Calculated facility’s average co-product yield:</t>
  </si>
  <si>
    <t>Average co-product yield at LCIF plant</t>
  </si>
  <si>
    <t>Add columns to the end of this table, as required, for additional distinct feedstock inputs.</t>
  </si>
  <si>
    <t xml:space="preserve">Copy these orange cells in the Allocation matrix (see "Allocation" worksheet). </t>
  </si>
  <si>
    <t>Name of co-product portion</t>
  </si>
  <si>
    <t>Co-product portion quantity</t>
  </si>
  <si>
    <t>Case where 2 feedstocks are used to produce bioethanol with DDGS as a co-product.</t>
  </si>
  <si>
    <t>Barley</t>
  </si>
  <si>
    <t>Total feedstock amount</t>
  </si>
  <si>
    <t>Total production of DDGS</t>
  </si>
  <si>
    <t>DDGS portions</t>
  </si>
  <si>
    <t>DDGS from Corn</t>
  </si>
  <si>
    <t>DDGS from Barley</t>
  </si>
  <si>
    <t>Animal feeds (DDGS)</t>
  </si>
  <si>
    <t>For detailed guidance on how to fill this worksheet, refer to section 4.6 of the CFR Specifications for Fuel LCA Model CI Calculations.</t>
  </si>
  <si>
    <t>Fill a worksheet for each fuel type.</t>
  </si>
  <si>
    <t>Duplicate and rename worksheet for each fuel type input.</t>
  </si>
  <si>
    <t>Select type of fuel input</t>
  </si>
  <si>
    <t>Methane content (%) (e.g. 0.91 or 91%)</t>
  </si>
  <si>
    <t>To be entered for biogas only.</t>
  </si>
  <si>
    <t>Source of fuel CI</t>
  </si>
  <si>
    <t>If the fuel input is modeled using a CI calculated by the applicant: 
Follow the instructions presented in the relevant CFR Supplemental Specifications for the determination of the CI in a separate CFR Data Workbook.
In openLCA, the two pathways should be combined and submitted in one JSON file.</t>
  </si>
  <si>
    <t>If type of fuel input "New fuel input" selected, fill out these additional cells.</t>
  </si>
  <si>
    <t>Name of new fuel input</t>
  </si>
  <si>
    <t>If "Transferred CI" is selected:</t>
  </si>
  <si>
    <t>Alphanumeric identifier of the tranferred CI</t>
  </si>
  <si>
    <t>Transferred CI, in g CO2e/MJ</t>
  </si>
  <si>
    <t>Select unit in which data is entered</t>
  </si>
  <si>
    <t>Must correspond to the units in which fuel input quantities are measured.</t>
  </si>
  <si>
    <t>Fuel input, beginning inventory*</t>
  </si>
  <si>
    <t>Fuel input, purchased*</t>
  </si>
  <si>
    <t>Fuel input, end inventory*</t>
  </si>
  <si>
    <t>Fuel input used</t>
  </si>
  <si>
    <t>For excess steam sold to third party, purchased quantities must be entered as negative values in the "Fuel input, purchased" column.</t>
  </si>
  <si>
    <t>Total</t>
  </si>
  <si>
    <t>Mandatory unit to enter total fuel use in the Fuel LCA Model : energy-based unit</t>
  </si>
  <si>
    <t>Select appropriate unit conversion factor(s) from "ECCC Parameters" worksheet</t>
  </si>
  <si>
    <t>Fuel input name</t>
  </si>
  <si>
    <t>Amount</t>
  </si>
  <si>
    <t>Fill a worksheet for each electricity type.</t>
  </si>
  <si>
    <t>This is also the worksheet for excess electricity sold to grid.</t>
  </si>
  <si>
    <t>Duplicate and rename this worksheet for each electricity input.</t>
  </si>
  <si>
    <t>Select type of electricity input</t>
  </si>
  <si>
    <t>Purchased electricity from grid</t>
  </si>
  <si>
    <t>Electricity input name</t>
  </si>
  <si>
    <t>Source of electricity CI</t>
  </si>
  <si>
    <t>If "Purchased electricity from grid" or "Excess electricity sold to the grid" is selected:</t>
  </si>
  <si>
    <t>Select the grid</t>
  </si>
  <si>
    <t>Canada/ON</t>
  </si>
  <si>
    <t>The selected grid should correspond to the location of the LCIF production plant.</t>
  </si>
  <si>
    <t>If "Low-CI electricity (produced on-site or RECs-PPA)" is selected:</t>
  </si>
  <si>
    <t>Select the technology used for electricity generation</t>
  </si>
  <si>
    <t>Select technology</t>
  </si>
  <si>
    <t>If "Configurable unit process" is selected:</t>
  </si>
  <si>
    <t>Enter name of configurable unit process used in Fuel Pathway</t>
  </si>
  <si>
    <t>Alphanumeric identifier of the approved new pathway, if applicable</t>
  </si>
  <si>
    <t>Region of electricity generation (province/state/country)</t>
  </si>
  <si>
    <t>Electricity quantities</t>
  </si>
  <si>
    <t xml:space="preserve">Select unit in which electricity quantities are entered </t>
  </si>
  <si>
    <t>Must correspond to the units in which electricity quantities are measured.</t>
  </si>
  <si>
    <t>Reporting Month (YYYY/MM)</t>
  </si>
  <si>
    <t>Quantity*</t>
  </si>
  <si>
    <t>For excess electricity sold to the grid, quantity sold must be entered with a negative value.</t>
  </si>
  <si>
    <t>Conversion of electricity quantities</t>
  </si>
  <si>
    <t>Mandatory unit to enter total electricity quantities in the Fuel LCA Model: energy-based unit</t>
  </si>
  <si>
    <t>Low-CI electricity (produced on-site or RECs-PPA)</t>
  </si>
  <si>
    <t>Select grid</t>
  </si>
  <si>
    <t>Solar, from photovoltaic</t>
  </si>
  <si>
    <t>Fill a worksheet for each material input specified in the CFR Supplemental Specifications for each fuel type.</t>
  </si>
  <si>
    <t>Duplicate and rename this worksheet for each additional material input.</t>
  </si>
  <si>
    <t>If the CFR Supplemental Specifications specify that a material input based on applicant data must be added to the fuel pathway:</t>
  </si>
  <si>
    <t>Type of material input</t>
  </si>
  <si>
    <t>Select material input</t>
  </si>
  <si>
    <t>Material input name</t>
  </si>
  <si>
    <t>Source of material input CI</t>
  </si>
  <si>
    <t>Select source of CI</t>
  </si>
  <si>
    <t>If the material input is modeled using a CI calculated by the applicant: 
Follow the instructions presented in the relevant CFR Supplemental Specifications for the determination of the CI in a separate CFR Data Workbook.
In openLCA, the two pathways should be combined and submitted in one JSON file.</t>
  </si>
  <si>
    <t>If source of material input CI "New material input CI" selected, fill out these additional cells.</t>
  </si>
  <si>
    <t>Name of new material input</t>
  </si>
  <si>
    <t>If a transferred CI value is used to model the material input:</t>
  </si>
  <si>
    <t>If the CFR Supplemental Specifications specify that a preset chemical mix must be added to the fuel pathway:</t>
  </si>
  <si>
    <t>Select preset chemical mix</t>
  </si>
  <si>
    <t>Chemical use per MJ of conventional ethanol</t>
  </si>
  <si>
    <t>No quantities must be reported for this preset chemical mix in the "Material quantities" section below.</t>
  </si>
  <si>
    <t>Material Input Transportation (only for purchased hydrogen input to a Renewable Hydrocarbon Biofuel Facility)</t>
  </si>
  <si>
    <t>For detailed guidance on how to fill this section, refer to section A.2.3.3.5.1 of the CFR Specifications for Fuel LCA Model CI Calculations.</t>
  </si>
  <si>
    <t>Material Input Properties (Hydrogen)</t>
  </si>
  <si>
    <t>HHV of material input</t>
  </si>
  <si>
    <t>Copy values from "ECCC Parameters" worksheet.</t>
  </si>
  <si>
    <t>Density of material input</t>
  </si>
  <si>
    <t>Enter a value if required for quantity conversion. Use values from "ECCC Parameters" worksheet whenever available.</t>
  </si>
  <si>
    <t>Material input transportation modelling option</t>
  </si>
  <si>
    <t>Transport distance</t>
  </si>
  <si>
    <t>Truck transport, gaseous state</t>
  </si>
  <si>
    <t>Enter the total distance for hydrogen transported along each leg for each mode of transportation.
If required, calculations must be provided in the “Side Calculations” worksheet.</t>
  </si>
  <si>
    <t>Rail transport, gaseous state</t>
  </si>
  <si>
    <t>Ship transport, gaseous state</t>
  </si>
  <si>
    <t>Natural gas pipeline transport</t>
  </si>
  <si>
    <t>Dedicated pipeline transport</t>
  </si>
  <si>
    <t>These calculations use the HHV of hydrogen that is entered in the "General information" section. 
These values must be entered as hydrogen material input amounts in the unit processes of the Fuel Pathway for the hydrogen material input flow.</t>
  </si>
  <si>
    <t>Material quantities</t>
  </si>
  <si>
    <t>Must correspond to the units in which material quantities are measured.</t>
  </si>
  <si>
    <t>Material input, beginning inventory*</t>
  </si>
  <si>
    <t>Material input, purchased*</t>
  </si>
  <si>
    <t>Material input, end inventory*</t>
  </si>
  <si>
    <t>Material input used</t>
  </si>
  <si>
    <t>Conversion of material quantities</t>
  </si>
  <si>
    <t xml:space="preserve">Mass-based unit or energy-based </t>
  </si>
  <si>
    <t>Mandatory unit for material quantities in the Fuel LCA Model:</t>
  </si>
  <si>
    <t>Select unit</t>
  </si>
  <si>
    <t>Use only values from "ECCC Parameters" worksheet.</t>
  </si>
  <si>
    <t xml:space="preserve">* Cells below must copied in the Allocation matrix (see "Allocation" worksheet). </t>
  </si>
  <si>
    <t>Preset chemical mix - name</t>
  </si>
  <si>
    <t xml:space="preserve">The amount of preset chemical mix is entered in terms of MJ of fuel or portion of fuel produced at the LCIF facility. In this case, an applicant must use directly the quantity for fuel or portion of fuel calculated in the "Fuel" or "Fuel Portions" worksheets. </t>
  </si>
  <si>
    <t>For detailed guidance on how to fill this worksheet, refer to section 4.7 of the CFR Specifications for Fuel LCA Model CI Calculations.</t>
  </si>
  <si>
    <t>Allocation Matrix</t>
  </si>
  <si>
    <t>Link input and output flows</t>
  </si>
  <si>
    <t>Enter name, amounts and units for all inputs (including excess electricity and predefined amounts) in columns C, D and E.</t>
  </si>
  <si>
    <t>Enter name, amounts and units for all LCIF and co-product outputs (excluding excess electricity) in rows 11, 12 and 13.</t>
  </si>
  <si>
    <t>Rows and columns can be added to the matrix as needed.</t>
  </si>
  <si>
    <t>Outputs</t>
  </si>
  <si>
    <t>Inputs</t>
  </si>
  <si>
    <t>Enter 0/1</t>
  </si>
  <si>
    <t>Calculation of allocation factors</t>
  </si>
  <si>
    <t>Allocation factors must be copied in the Allocation tab of the "1- [LCIF name] production, at [LCIF name] plant" unit process in openLCA.</t>
  </si>
  <si>
    <t>Example</t>
  </si>
  <si>
    <t xml:space="preserve">Ethanol From Barley </t>
  </si>
  <si>
    <t>Ethanol From Corn</t>
  </si>
  <si>
    <t xml:space="preserve">DDGS From Barley </t>
  </si>
  <si>
    <t xml:space="preserve">DDGS From Corn </t>
  </si>
  <si>
    <t>Mg</t>
  </si>
  <si>
    <t xml:space="preserve">Natural gas combustion </t>
  </si>
  <si>
    <t>Electricity, from grid [CA-ON]</t>
  </si>
  <si>
    <t>For detailed guidance on how to fill this worksheet, refer to section 5 of the CFR Specifications for Fuel LCA Model CI Calculations.</t>
  </si>
  <si>
    <t>Duplicate and rename worksheet for each fuel.</t>
  </si>
  <si>
    <t xml:space="preserve">Copy values from "ECCC Parameters" worksheet for existing fuel types (or approved values for new fuel types in the case of a new pathway application). </t>
  </si>
  <si>
    <t>Distribution Leg 1</t>
  </si>
  <si>
    <t xml:space="preserve">Fuel distribution modelling option </t>
  </si>
  <si>
    <t>Recommended option - Applicant data</t>
  </si>
  <si>
    <t>Select the modelling option based on the instructions in Section 5 of the Specifications for Fuel LCA Model CI Calculations.</t>
  </si>
  <si>
    <t>State of fuel for Leg 1</t>
  </si>
  <si>
    <t>Liquid</t>
  </si>
  <si>
    <t>Density of fuel for Leg 1</t>
  </si>
  <si>
    <t xml:space="preserve">If "Recommended option - Applicant data" is selected: </t>
  </si>
  <si>
    <t>Calculations must be provided in the “Side Calculations” worksheet.</t>
  </si>
  <si>
    <t>Fraction of LCIF transported for each transport mode</t>
  </si>
  <si>
    <t>Enter weighted-average (or longest) distance for this transportation mode.</t>
  </si>
  <si>
    <t>If multiple transport modes are used, enter fraction of LCIF transported for each transport mode(between 0 and 1).</t>
  </si>
  <si>
    <t>Truck transport, liquid state</t>
  </si>
  <si>
    <t>Rail transport, liquid state</t>
  </si>
  <si>
    <t>Ship transport, liquid state</t>
  </si>
  <si>
    <t>Calculated transport amounts (Distribution of 1 MJ of fuel)</t>
  </si>
  <si>
    <t>These calculations use the HHV of fuel that is entered in the "General information" section. 
These values must be entered in the “2-[LCIF name] distribution, to end-user” unit processes of the Fuel Pathway for each transport input flow.</t>
  </si>
  <si>
    <t xml:space="preserve">If "Alternate option - Predefined distribution scenario" is selected: </t>
  </si>
  <si>
    <t>Select predefined scenario</t>
  </si>
  <si>
    <t xml:space="preserve">Select answer only if Predefined scenario is selected </t>
  </si>
  <si>
    <t>Amount of fuel distributed per MJ of fuel produced</t>
  </si>
  <si>
    <t>This value must be entered in the “2-[LCIF name] distribution, to end-user” unit processes of the Fuel Pathway for the system process corresponding to the predefined distribution scenario in the Data library .</t>
  </si>
  <si>
    <t>Distribution Leg 2</t>
  </si>
  <si>
    <t>Data must only be entered below if Section 5 of the Specifications for Fuel LCA Model CI Calculations requests that applicants provide applicant data for Distribution leg 2.</t>
  </si>
  <si>
    <t>State of fuel for Leg 2</t>
  </si>
  <si>
    <t>Density of fuel for Leg 2</t>
  </si>
  <si>
    <t>These calculations use the HHV of fuel that is entered in the General information section. 
These values must be entered as amounts in the “2-[LCIF name] distribution, to end-user” unit processes of the Fuel Pathway for each transport input flow.</t>
  </si>
  <si>
    <t>This worksheet can be used to carry out any additional calculations.</t>
  </si>
  <si>
    <t>If necessary, the applicant can create additional "Side Calculations" worksheets.</t>
  </si>
  <si>
    <t>Description of calculation</t>
  </si>
  <si>
    <t>Corn transport</t>
  </si>
  <si>
    <t>Explain what is being calculated.</t>
  </si>
  <si>
    <t>Reporting Month</t>
  </si>
  <si>
    <t>Feedstock quantities - Corn (wet tonnes)</t>
  </si>
  <si>
    <t>Corn moisture content (%)</t>
  </si>
  <si>
    <t>Producer</t>
  </si>
  <si>
    <t>Wet Mass (tonnes)</t>
  </si>
  <si>
    <t>Dry Mass (tonnes)</t>
  </si>
  <si>
    <t>Transport Distance (km)</t>
  </si>
  <si>
    <t>A (ON by 45 tonnes truck)</t>
  </si>
  <si>
    <t>B (ON by 45 tonnes truck)</t>
  </si>
  <si>
    <t>C (ON by 45 tonnes truck)</t>
  </si>
  <si>
    <t>1 (IA by 25 tonnes truck)</t>
  </si>
  <si>
    <t>2 (IA by 25 tonnes truck)</t>
  </si>
  <si>
    <t>3 (IA by 25 tonnes truck)</t>
  </si>
  <si>
    <t>4 (IA by 25 tonnes truck)</t>
  </si>
  <si>
    <t>45 tonnes Truck Transport Amount for 1 kg (wet-basis) of feedstock (kg*km)</t>
  </si>
  <si>
    <t>25 tonnes Truck Transport Amount for 1 kg (wet-basis) of feedstock (kg*km)</t>
  </si>
  <si>
    <t>Wheat transport</t>
  </si>
  <si>
    <t>Feedstock quantities - Wheat (wet tonnes)</t>
  </si>
  <si>
    <t>Wheat moisture content (%)</t>
  </si>
  <si>
    <t>Truck Transport Amount for 1 kg (wet-basis) of feedstock (kg*km)</t>
  </si>
  <si>
    <t>Wheat producer (45 tonnes truck)</t>
  </si>
  <si>
    <t>Bioethanol quantities without denaturant (L)</t>
  </si>
  <si>
    <t>Quantity of denaturant (L)</t>
  </si>
  <si>
    <t>Bioethanol quantities with denaturant (L)</t>
  </si>
  <si>
    <t>WDGS quantities (wet tonnes)</t>
  </si>
  <si>
    <t>WDGS moisture content (%)</t>
  </si>
  <si>
    <t>DDGS quantities data (wet tonnes)</t>
  </si>
  <si>
    <t>DDGS moisture content (%)</t>
  </si>
  <si>
    <t>Binary</t>
  </si>
  <si>
    <t>Options - Feedstock transport</t>
  </si>
  <si>
    <t>Options - Fuel distribution</t>
  </si>
  <si>
    <t>Types of fuel pathways</t>
  </si>
  <si>
    <t>Feedstock source (mass unit)</t>
  </si>
  <si>
    <t>CI source for Feedstock (energy unit) and fuel</t>
  </si>
  <si>
    <t>CI source for electricity</t>
  </si>
  <si>
    <t>Transport scenarios</t>
  </si>
  <si>
    <t>Wet or dry basis</t>
  </si>
  <si>
    <t>Feedstock (mass units)</t>
  </si>
  <si>
    <t>Feedstock (energy units)</t>
  </si>
  <si>
    <t>Existing fuel pathways</t>
  </si>
  <si>
    <t xml:space="preserve">CI source for Fuel Input </t>
  </si>
  <si>
    <t xml:space="preserve">CI source for Material Input </t>
  </si>
  <si>
    <t>Electricity inputs</t>
  </si>
  <si>
    <t>Technology specific electricity - Low-CI Electricity</t>
  </si>
  <si>
    <t>Direct emissions</t>
  </si>
  <si>
    <t>Electricity inputs (liquefaction)</t>
  </si>
  <si>
    <t>Grids</t>
  </si>
  <si>
    <t>Electricity generation technology</t>
  </si>
  <si>
    <t>Type of input</t>
  </si>
  <si>
    <t>Site of liquefaction</t>
  </si>
  <si>
    <t>Energy unit</t>
  </si>
  <si>
    <t>Predefined chemical mix</t>
  </si>
  <si>
    <t>Predefined other direct emissions</t>
  </si>
  <si>
    <t>FOESV Process for fuel input</t>
  </si>
  <si>
    <t>FOESV Treated choice</t>
  </si>
  <si>
    <t>FOESV Options - Fuel distribution</t>
  </si>
  <si>
    <t>FOESV State of fuel</t>
  </si>
  <si>
    <t>FOESV Transport scenarios</t>
  </si>
  <si>
    <t>LCIF treatment-treated fuel</t>
  </si>
  <si>
    <t>LCIF treatment-elect. input</t>
  </si>
  <si>
    <t>FOESV Fuels input choice</t>
  </si>
  <si>
    <t>Retention Time and Drainage</t>
  </si>
  <si>
    <t>Solid Storage/Treatment Systems</t>
  </si>
  <si>
    <t>Average Temperature Input</t>
  </si>
  <si>
    <t>Select type of fuel pathway</t>
  </si>
  <si>
    <t>Select existing fuel pathway name</t>
  </si>
  <si>
    <t>Select fuel input</t>
  </si>
  <si>
    <t>Select electricity input</t>
  </si>
  <si>
    <t>Select type of direct emissions</t>
  </si>
  <si>
    <t>Electricity</t>
  </si>
  <si>
    <t>Select electricity generation technology</t>
  </si>
  <si>
    <t>Type</t>
  </si>
  <si>
    <t>Onsite</t>
  </si>
  <si>
    <t>Select Preset chemical mix</t>
  </si>
  <si>
    <t>Select Co-product</t>
  </si>
  <si>
    <t>Select process</t>
  </si>
  <si>
    <t>Select FOESV</t>
  </si>
  <si>
    <t>Select LCIF input</t>
  </si>
  <si>
    <t>Select livestock type</t>
  </si>
  <si>
    <t>Not Applicable</t>
  </si>
  <si>
    <t>Select storage/treatment system</t>
  </si>
  <si>
    <t>Select temperature source</t>
  </si>
  <si>
    <t>Select digester type</t>
  </si>
  <si>
    <t>No</t>
  </si>
  <si>
    <t>Low impact scenario</t>
  </si>
  <si>
    <t>Agricultural residues</t>
  </si>
  <si>
    <t>Hydro, from reservoir</t>
  </si>
  <si>
    <t>Industrial process emissions</t>
  </si>
  <si>
    <t>Argentina/Average Argentine grid</t>
  </si>
  <si>
    <t>Biomass, wood, cogeneration</t>
  </si>
  <si>
    <t>Material use</t>
  </si>
  <si>
    <t>Offsite</t>
  </si>
  <si>
    <t>cg</t>
  </si>
  <si>
    <t>btu</t>
  </si>
  <si>
    <t>Chemical use per MJ of biodiesel</t>
  </si>
  <si>
    <t>Not available</t>
  </si>
  <si>
    <t>Compression</t>
  </si>
  <si>
    <t>Gaseous</t>
  </si>
  <si>
    <t>Retention Time Less than 30 Days</t>
  </si>
  <si>
    <t>Air</t>
  </si>
  <si>
    <t>Alternate option - Predefined distribution scenario</t>
  </si>
  <si>
    <t>New fuel pathway</t>
  </si>
  <si>
    <t>Configurable unit process</t>
  </si>
  <si>
    <t>Transferred CI</t>
  </si>
  <si>
    <t>High impact scenario</t>
  </si>
  <si>
    <t>Dry basis</t>
  </si>
  <si>
    <t xml:space="preserve">Hydrogen </t>
  </si>
  <si>
    <t>Hydro, from run-of-river</t>
  </si>
  <si>
    <t>Industrial product use emissions</t>
  </si>
  <si>
    <t>Electricity purchased from specific supplier</t>
  </si>
  <si>
    <t>Brazil/Average Brazilian grid</t>
  </si>
  <si>
    <t>Biomass, wood, simple cycle</t>
  </si>
  <si>
    <t>Fuel use</t>
  </si>
  <si>
    <t>ct</t>
  </si>
  <si>
    <t>Chemical use per MJ of cellulosic ethanol</t>
  </si>
  <si>
    <t>Liquefaction</t>
  </si>
  <si>
    <t>Predefined distribution scenario</t>
  </si>
  <si>
    <t>Gaseous compressed</t>
  </si>
  <si>
    <t>Low-CI electricity (produced on-site)</t>
  </si>
  <si>
    <t>System Emptied</t>
  </si>
  <si>
    <t>Manure</t>
  </si>
  <si>
    <t>Digestate</t>
  </si>
  <si>
    <t>Hybrid option - Applicant data and Predefined transport scenario</t>
  </si>
  <si>
    <t>New feedstock CI</t>
  </si>
  <si>
    <t>Landfill gas</t>
  </si>
  <si>
    <t>New fuel input CI</t>
  </si>
  <si>
    <t>Methanol (from natural gas)</t>
  </si>
  <si>
    <t>New material input CI</t>
  </si>
  <si>
    <t>Excess electricity sold to the grid</t>
  </si>
  <si>
    <t>Nuclear, CANDU</t>
  </si>
  <si>
    <t>Venting emissions</t>
  </si>
  <si>
    <t xml:space="preserve">Electricity produced on-site </t>
  </si>
  <si>
    <t>Canada/AB</t>
  </si>
  <si>
    <t>Electricity use</t>
  </si>
  <si>
    <t>cwt</t>
  </si>
  <si>
    <t>Upgrading</t>
  </si>
  <si>
    <t>CI calculated by applicant</t>
  </si>
  <si>
    <t>Renewable natural gas</t>
  </si>
  <si>
    <t>--------------</t>
  </si>
  <si>
    <t>Solar, from concentrated solar power</t>
  </si>
  <si>
    <t>Flaring emissions</t>
  </si>
  <si>
    <t>Canada/BC</t>
  </si>
  <si>
    <t>Fuel use, mixer</t>
  </si>
  <si>
    <t>dag</t>
  </si>
  <si>
    <t>Purification</t>
  </si>
  <si>
    <t>Acetic acid (CH3COOH)</t>
  </si>
  <si>
    <t>Leakage emissions</t>
  </si>
  <si>
    <t>Canada/MB</t>
  </si>
  <si>
    <t>Electricity use, mixer</t>
  </si>
  <si>
    <t>dg</t>
  </si>
  <si>
    <t xml:space="preserve">Durum wheat </t>
  </si>
  <si>
    <t>Renewable diesel/HDRD</t>
  </si>
  <si>
    <t>Alpha Amylase</t>
  </si>
  <si>
    <t>Wind,  from onshore or offshore</t>
  </si>
  <si>
    <t xml:space="preserve">Waste emissions </t>
  </si>
  <si>
    <t>Canada/NB</t>
  </si>
  <si>
    <t>dr (Av)</t>
  </si>
  <si>
    <t>Renewable gasoline</t>
  </si>
  <si>
    <t>Other</t>
  </si>
  <si>
    <t>Ammonia (NH3)</t>
  </si>
  <si>
    <t>Wood biomass, cogeneration</t>
  </si>
  <si>
    <t>Hydrogen process emissions, SMR of natural gas</t>
  </si>
  <si>
    <t>Canada/NL</t>
  </si>
  <si>
    <t>dwt</t>
  </si>
  <si>
    <t>Livestock manure</t>
  </si>
  <si>
    <t>Renewable propane</t>
  </si>
  <si>
    <t>Renewable naphtha</t>
  </si>
  <si>
    <t xml:space="preserve">Excess steam sold to third party </t>
  </si>
  <si>
    <t>Ammonium Sulfate ((NH4)2SO4)</t>
  </si>
  <si>
    <t>Wood biomass, simple cycle</t>
  </si>
  <si>
    <t>Hydrogen process emissions, SMR of RNG</t>
  </si>
  <si>
    <t>Canada/NS</t>
  </si>
  <si>
    <t>Hydro, reservoir</t>
  </si>
  <si>
    <t>Liquid light hydrocarbons</t>
  </si>
  <si>
    <t>New feedstock</t>
  </si>
  <si>
    <t>Calcium Carbonate (CaCO3)</t>
  </si>
  <si>
    <t>Hydrogen process emissions, biomass gasification</t>
  </si>
  <si>
    <t>Canada/NT</t>
  </si>
  <si>
    <t>Hydro, run-of-river</t>
  </si>
  <si>
    <t>gr</t>
  </si>
  <si>
    <t>PJ</t>
  </si>
  <si>
    <t>Syrup/Thin sillage</t>
  </si>
  <si>
    <t>Sawmill co-products</t>
  </si>
  <si>
    <t>Lime (CaO)</t>
  </si>
  <si>
    <t>Canada/NU</t>
  </si>
  <si>
    <t>Natural gas, cogeneration</t>
  </si>
  <si>
    <t>hg</t>
  </si>
  <si>
    <t>TCE</t>
  </si>
  <si>
    <t>Renewable butane</t>
  </si>
  <si>
    <t>Biodiesel </t>
  </si>
  <si>
    <t>Cellulase</t>
  </si>
  <si>
    <t>Natural gas, combined cycle</t>
  </si>
  <si>
    <t>TJ</t>
  </si>
  <si>
    <t>Offgas</t>
  </si>
  <si>
    <t>Sugar cane</t>
  </si>
  <si>
    <t>Cellulase protein</t>
  </si>
  <si>
    <t>Canada/PE</t>
  </si>
  <si>
    <t>Natural gas, converted boiler</t>
  </si>
  <si>
    <t>kg SWU</t>
  </si>
  <si>
    <t>TOE</t>
  </si>
  <si>
    <t>New co-product</t>
  </si>
  <si>
    <t>Citric Acid (C6H8O7)</t>
  </si>
  <si>
    <t>Canada/QC</t>
  </si>
  <si>
    <t>Natural gas, simple cycle</t>
  </si>
  <si>
    <t>kt</t>
  </si>
  <si>
    <t>Solid Organic Waste</t>
  </si>
  <si>
    <t>New fuel</t>
  </si>
  <si>
    <t>Corn steep liquor</t>
  </si>
  <si>
    <t>Canada/SK</t>
  </si>
  <si>
    <t>lb av</t>
  </si>
  <si>
    <t>Waste, biogenic (generic)</t>
  </si>
  <si>
    <t>Diammonium Phosphate ((NH4)2HPO4)</t>
  </si>
  <si>
    <t>Canada/YT</t>
  </si>
  <si>
    <t>Solar, concentrated solar power</t>
  </si>
  <si>
    <t>long tn</t>
  </si>
  <si>
    <t>Waste, non-biogenic (generic)</t>
  </si>
  <si>
    <t>Gluco Amylase</t>
  </si>
  <si>
    <t>Mexico/Average Mexican grid</t>
  </si>
  <si>
    <t>Solar, photovoltaic</t>
  </si>
  <si>
    <t>mg</t>
  </si>
  <si>
    <t>Excess fuel gas</t>
  </si>
  <si>
    <t>Glucose</t>
  </si>
  <si>
    <t>New Electricity Grid Mix</t>
  </si>
  <si>
    <t>Wind, onshore,  &lt; 1 MW</t>
  </si>
  <si>
    <t>Fuel gas</t>
  </si>
  <si>
    <t>Hexane (n-hexane)</t>
  </si>
  <si>
    <t>USA/AK</t>
  </si>
  <si>
    <t>Wind, onshore,  &gt; 3 MW</t>
  </si>
  <si>
    <t>Mt</t>
  </si>
  <si>
    <t>Hydrochloric acid (HCl)</t>
  </si>
  <si>
    <t>USA/AL</t>
  </si>
  <si>
    <t>Wind, onshore,  1-3 MW</t>
  </si>
  <si>
    <t>ng</t>
  </si>
  <si>
    <t>Nitrogen, gaseous (from natural gas)</t>
  </si>
  <si>
    <t>USA/AR</t>
  </si>
  <si>
    <t>Wind, onshore,  2 MW, concrete tower</t>
  </si>
  <si>
    <t>oz av</t>
  </si>
  <si>
    <t>Phosphoric acid (H3PO4)</t>
  </si>
  <si>
    <t>USA/AZ</t>
  </si>
  <si>
    <t>oz t</t>
  </si>
  <si>
    <t>Renewable gasoline </t>
  </si>
  <si>
    <t>Potassium Hydroxide (KOH)</t>
  </si>
  <si>
    <t>USA/CA</t>
  </si>
  <si>
    <t>pg</t>
  </si>
  <si>
    <t>Renewable naphtha </t>
  </si>
  <si>
    <t>Sodium Hydroxide/Caustic Soda</t>
  </si>
  <si>
    <t>USA/CO</t>
  </si>
  <si>
    <t>sh tn</t>
  </si>
  <si>
    <t>Sodium Methylate (Sodium methoxide)</t>
  </si>
  <si>
    <t>USA/CT</t>
  </si>
  <si>
    <t>Renewable diesel/HDRD </t>
  </si>
  <si>
    <t>Sulfuric acid (H2SO4)</t>
  </si>
  <si>
    <t>USA/DC</t>
  </si>
  <si>
    <t>ug</t>
  </si>
  <si>
    <t>Urea</t>
  </si>
  <si>
    <t>USA/DE</t>
  </si>
  <si>
    <t>Yeast</t>
  </si>
  <si>
    <t>USA/FL</t>
  </si>
  <si>
    <t>Yeast extract</t>
  </si>
  <si>
    <t>USA/GA</t>
  </si>
  <si>
    <t>New material input</t>
  </si>
  <si>
    <t>USA/HI</t>
  </si>
  <si>
    <t>USA/IA</t>
  </si>
  <si>
    <t>USA/ID</t>
  </si>
  <si>
    <t>USA/IL</t>
  </si>
  <si>
    <t>USA/IN</t>
  </si>
  <si>
    <t>USA/KS</t>
  </si>
  <si>
    <t>USA/KY</t>
  </si>
  <si>
    <t>USA/LA</t>
  </si>
  <si>
    <t>New fuel input</t>
  </si>
  <si>
    <t>USA/MA</t>
  </si>
  <si>
    <t>USA/MD</t>
  </si>
  <si>
    <t>USA/ME</t>
  </si>
  <si>
    <t>USA/MI</t>
  </si>
  <si>
    <t>USA/MN</t>
  </si>
  <si>
    <t>USA/MO</t>
  </si>
  <si>
    <t>USA/MS</t>
  </si>
  <si>
    <t>USA/MT</t>
  </si>
  <si>
    <t>USA/NC</t>
  </si>
  <si>
    <t>USA/ND</t>
  </si>
  <si>
    <t>USA/NE</t>
  </si>
  <si>
    <t>USA/NH</t>
  </si>
  <si>
    <t>USA/NJ</t>
  </si>
  <si>
    <t>USA/NM</t>
  </si>
  <si>
    <t>USA/NV</t>
  </si>
  <si>
    <t>USA/NY</t>
  </si>
  <si>
    <t>USA/OH</t>
  </si>
  <si>
    <t>USA/OK</t>
  </si>
  <si>
    <t>USA/OR</t>
  </si>
  <si>
    <t>USA/PA</t>
  </si>
  <si>
    <t>USA/RI</t>
  </si>
  <si>
    <t>USA/SC</t>
  </si>
  <si>
    <t>USA/SD</t>
  </si>
  <si>
    <t>USA/TN</t>
  </si>
  <si>
    <t>USA/TX</t>
  </si>
  <si>
    <t>USA/UT</t>
  </si>
  <si>
    <t>USA/VA</t>
  </si>
  <si>
    <t>USA/VT</t>
  </si>
  <si>
    <t>USA/WA</t>
  </si>
  <si>
    <t>USA/WI</t>
  </si>
  <si>
    <t>USA/WV</t>
  </si>
  <si>
    <t>USA/WY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</si>
</sst>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164" formatCode="0.000"/>
    <numFmt numFmtId="165" formatCode="0.00000"/>
    <numFmt numFmtId="166" formatCode="0.0"/>
    <numFmt numFmtId="167" formatCode="0.0000"/>
    <numFmt numFmtId="168" formatCode="yyyy\/mm"/>
    <numFmt numFmtId="169" formatCode="0.000000000000000"/>
    <numFmt numFmtId="170" formatCode="#,##0.00000"/>
    <numFmt numFmtId="171" formatCode="#,##0.000"/>
    <numFmt numFmtId="172" formatCode="#,##0.0000"/>
    <numFmt numFmtId="173" formatCode="#,##0.000000"/>
    <numFmt numFmtId="174" formatCode="#,##0.0000000"/>
    <numFmt numFmtId="175" formatCode="#,##0.00000000"/>
    <numFmt numFmtId="176" formatCode="#,##0.000000000"/>
    <numFmt numFmtId="177" formatCode="#,##0.0"/>
    <numFmt numFmtId="178" formatCode="0.000000000"/>
    <numFmt numFmtId="179" formatCode="0.0%"/>
    <numFmt numFmtId="180" formatCode="0.00000000000000000000"/>
    <numFmt numFmtId="181" formatCode="0.00000E+00"/>
    <numFmt numFmtId="182" formatCode="0.000E+00"/>
    <numFmt numFmtId="183" formatCode="0.0000000000000000"/>
    <numFmt numFmtId="184" formatCode="0.000000"/>
    <numFmt numFmtId="185" formatCode="0.0000000000"/>
    <numFmt numFmtId="186" formatCode="0.00000000000"/>
    <numFmt numFmtId="187" formatCode="0.00000000000000000"/>
    <numFmt numFmtId="188" formatCode="0.0000000"/>
  </numFmts>
  <fonts count="69" x14ac:knownFonts="1">
    <font>
      <sz val="11"/>
      <color theme="1"/>
      <name val="Calibri"/>
      <family val="2"/>
      <scheme val="minor"/>
    </font>
    <font>
      <b/>
      <sz val="11"/>
      <color theme="1"/>
      <name val="Calibri"/>
      <family val="2"/>
      <scheme val="minor"/>
    </font>
    <font>
      <sz val="11"/>
      <name val="Calibri"/>
      <family val="2"/>
      <scheme val="minor"/>
    </font>
    <font>
      <b/>
      <sz val="11"/>
      <color theme="8" tint="-0.249977111117893"/>
      <name val="Calibri"/>
      <family val="2"/>
      <scheme val="minor"/>
    </font>
    <font>
      <sz val="12"/>
      <color theme="1"/>
      <name val="Calibri"/>
      <family val="2"/>
      <scheme val="minor"/>
    </font>
    <font>
      <sz val="11"/>
      <color rgb="FF000000"/>
      <name val="Calibri"/>
      <family val="2"/>
    </font>
    <font>
      <b/>
      <sz val="11"/>
      <color theme="0"/>
      <name val="Calibri"/>
      <family val="2"/>
      <scheme val="minor"/>
    </font>
    <font>
      <sz val="11"/>
      <color rgb="FFFF0000"/>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sz val="11"/>
      <name val="Calibri"/>
      <family val="2"/>
      <scheme val="minor"/>
    </font>
    <font>
      <sz val="11"/>
      <name val="Calibri"/>
      <family val="2"/>
    </font>
    <font>
      <b/>
      <sz val="11"/>
      <color rgb="FF000000"/>
      <name val="Calibri"/>
      <family val="2"/>
      <scheme val="minor"/>
    </font>
    <font>
      <sz val="11"/>
      <color theme="1"/>
      <name val="Calibri"/>
      <family val="2"/>
      <charset val="1"/>
    </font>
    <font>
      <sz val="11"/>
      <color rgb="FF444444"/>
      <name val="Calibri"/>
      <family val="2"/>
      <charset val="1"/>
    </font>
    <font>
      <b/>
      <sz val="11"/>
      <color rgb="FFFF0000"/>
      <name val="Calibri"/>
      <family val="2"/>
      <scheme val="minor"/>
    </font>
    <font>
      <i/>
      <sz val="11"/>
      <color theme="8"/>
      <name val="Calibri"/>
      <family val="2"/>
      <scheme val="minor"/>
    </font>
    <font>
      <i/>
      <sz val="11"/>
      <color theme="2" tint="-0.749992370372631"/>
      <name val="Calibri"/>
      <family val="2"/>
      <scheme val="minor"/>
    </font>
    <font>
      <i/>
      <sz val="11"/>
      <color theme="6" tint="-0.499984740745262"/>
      <name val="Calibri"/>
      <family val="2"/>
      <scheme val="minor"/>
    </font>
    <font>
      <b/>
      <sz val="11"/>
      <color theme="4" tint="-0.249977111117893"/>
      <name val="Calibri"/>
      <family val="2"/>
      <scheme val="minor"/>
    </font>
    <font>
      <sz val="11"/>
      <color theme="0"/>
      <name val="Calibri"/>
      <family val="2"/>
      <scheme val="minor"/>
    </font>
    <font>
      <b/>
      <sz val="11"/>
      <color theme="4" tint="-0.499984740745262"/>
      <name val="Calibri"/>
      <family val="2"/>
      <scheme val="minor"/>
    </font>
    <font>
      <i/>
      <sz val="11"/>
      <color theme="6" tint="-0.499984740745262"/>
      <name val="Calibri"/>
      <family val="2"/>
    </font>
    <font>
      <b/>
      <sz val="11"/>
      <color theme="8"/>
      <name val="Calibri"/>
      <family val="2"/>
      <scheme val="minor"/>
    </font>
    <font>
      <b/>
      <u/>
      <sz val="11"/>
      <color rgb="FFC00000"/>
      <name val="Calibri"/>
      <family val="2"/>
      <scheme val="minor"/>
    </font>
    <font>
      <b/>
      <i/>
      <u/>
      <sz val="11"/>
      <color rgb="FF0070C0"/>
      <name val="Calibri"/>
      <family val="2"/>
      <scheme val="minor"/>
    </font>
    <font>
      <i/>
      <sz val="11"/>
      <color theme="6" tint="-0.499984740745262"/>
      <name val="Calibri"/>
      <family val="2"/>
      <charset val="1"/>
    </font>
    <font>
      <sz val="11"/>
      <color theme="6" tint="-0.499984740745262"/>
      <name val="Calibri"/>
      <family val="2"/>
      <scheme val="minor"/>
    </font>
    <font>
      <strike/>
      <sz val="11"/>
      <name val="Calibri"/>
      <family val="2"/>
      <scheme val="minor"/>
    </font>
    <font>
      <i/>
      <sz val="11"/>
      <color rgb="FF525252"/>
      <name val="Calibri"/>
      <family val="2"/>
    </font>
    <font>
      <i/>
      <sz val="11"/>
      <color rgb="FF525252"/>
      <name val="Calibri"/>
      <family val="2"/>
      <charset val="1"/>
    </font>
    <font>
      <b/>
      <i/>
      <sz val="11"/>
      <color rgb="FF000000"/>
      <name val="Calibri"/>
      <family val="2"/>
      <scheme val="minor"/>
    </font>
    <font>
      <b/>
      <sz val="11"/>
      <color rgb="FF000000"/>
      <name val="Calibri"/>
      <family val="2"/>
    </font>
    <font>
      <vertAlign val="superscript"/>
      <sz val="11"/>
      <name val="Calibri"/>
      <family val="2"/>
    </font>
    <font>
      <i/>
      <sz val="11"/>
      <name val="Calibri"/>
      <family val="2"/>
    </font>
    <font>
      <i/>
      <vertAlign val="superscript"/>
      <sz val="11"/>
      <name val="Calibri"/>
      <family val="2"/>
    </font>
    <font>
      <b/>
      <sz val="11"/>
      <color rgb="FFFFFFFF"/>
      <name val="Calibri"/>
      <family val="2"/>
    </font>
    <font>
      <sz val="11"/>
      <color rgb="FFFFFFFF"/>
      <name val="Calibri"/>
      <family val="2"/>
    </font>
    <font>
      <b/>
      <sz val="11"/>
      <name val="Calibri"/>
      <family val="2"/>
    </font>
    <font>
      <sz val="11"/>
      <color rgb="FFFF0000"/>
      <name val="Calibri"/>
      <family val="2"/>
    </font>
    <font>
      <i/>
      <sz val="11"/>
      <color rgb="FF000000"/>
      <name val="Calibri"/>
      <family val="2"/>
    </font>
    <font>
      <i/>
      <vertAlign val="superscript"/>
      <sz val="11"/>
      <color rgb="FF000000"/>
      <name val="Calibri"/>
      <family val="2"/>
    </font>
    <font>
      <b/>
      <i/>
      <sz val="11"/>
      <name val="Calibri"/>
      <family val="2"/>
      <scheme val="minor"/>
    </font>
    <font>
      <sz val="11"/>
      <color theme="1"/>
      <name val="Calibri"/>
      <family val="2"/>
      <scheme val="minor"/>
    </font>
    <font>
      <u/>
      <sz val="11"/>
      <color theme="10"/>
      <name val="Calibri"/>
      <family val="2"/>
      <scheme val="minor"/>
    </font>
    <font>
      <i/>
      <sz val="11"/>
      <color rgb="FF525252"/>
      <name val="Calibri"/>
      <family val="2"/>
      <scheme val="minor"/>
    </font>
    <font>
      <sz val="10"/>
      <name val="Arial"/>
      <family val="2"/>
    </font>
    <font>
      <sz val="10"/>
      <color rgb="FFFFFFFF"/>
      <name val="Arial"/>
      <family val="2"/>
    </font>
    <font>
      <b/>
      <sz val="10"/>
      <name val="Arial"/>
      <family val="2"/>
    </font>
    <font>
      <b/>
      <sz val="10"/>
      <color rgb="FF000000"/>
      <name val="Arial"/>
      <family val="2"/>
    </font>
    <font>
      <i/>
      <sz val="11"/>
      <color theme="1" tint="0.34998626667073579"/>
      <name val="Calibri"/>
      <family val="2"/>
      <scheme val="minor"/>
    </font>
    <font>
      <i/>
      <vertAlign val="superscript"/>
      <sz val="11"/>
      <name val="Calibri"/>
      <family val="2"/>
      <scheme val="minor"/>
    </font>
    <font>
      <b/>
      <vertAlign val="subscript"/>
      <sz val="11"/>
      <color rgb="FF000000"/>
      <name val="Calibri"/>
      <family val="2"/>
      <scheme val="minor"/>
    </font>
    <font>
      <b/>
      <sz val="11"/>
      <color rgb="FFFF0000"/>
      <name val="Calibri"/>
      <family val="2"/>
    </font>
    <font>
      <b/>
      <i/>
      <u/>
      <sz val="11"/>
      <color theme="1"/>
      <name val="Calibri"/>
      <family val="2"/>
      <scheme val="minor"/>
    </font>
    <font>
      <b/>
      <i/>
      <u/>
      <sz val="10"/>
      <color theme="1"/>
      <name val="Calibri"/>
      <family val="2"/>
      <scheme val="minor"/>
    </font>
    <font>
      <b/>
      <i/>
      <sz val="11"/>
      <color theme="6" tint="-0.499984740745262"/>
      <name val="Calibri"/>
      <family val="2"/>
      <scheme val="minor"/>
    </font>
    <font>
      <b/>
      <i/>
      <sz val="11"/>
      <color theme="6" tint="-0.499984740745262"/>
      <name val="Calibri"/>
      <family val="2"/>
    </font>
    <font>
      <sz val="11"/>
      <color rgb="FF0070C0"/>
      <name val="Calibri"/>
      <family val="2"/>
      <scheme val="minor"/>
    </font>
    <font>
      <vertAlign val="subscript"/>
      <sz val="11"/>
      <name val="Calibri"/>
      <family val="2"/>
      <scheme val="minor"/>
    </font>
    <font>
      <strike/>
      <sz val="11"/>
      <color rgb="FFFF0000"/>
      <name val="Calibri"/>
      <family val="2"/>
      <scheme val="minor"/>
    </font>
    <font>
      <b/>
      <strike/>
      <sz val="11"/>
      <color theme="1"/>
      <name val="Calibri"/>
      <family val="2"/>
      <scheme val="minor"/>
    </font>
    <font>
      <sz val="11"/>
      <color rgb="FF000000"/>
      <name val="Aptos Narrow"/>
      <family val="2"/>
    </font>
    <font>
      <b/>
      <sz val="11"/>
      <color rgb="FF000000"/>
      <name val="Aptos Narrow"/>
      <family val="2"/>
    </font>
    <font>
      <sz val="8"/>
      <name val="Calibri"/>
      <family val="2"/>
      <scheme val="minor"/>
    </font>
    <font>
      <sz val="11"/>
      <color rgb="FF000000"/>
      <name val="Aptos Narrow"/>
    </font>
  </fonts>
  <fills count="2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0.89999084444715716"/>
        <bgColor indexed="64"/>
      </patternFill>
    </fill>
    <fill>
      <patternFill patternType="solid">
        <fgColor theme="1"/>
        <bgColor indexed="64"/>
      </patternFill>
    </fill>
    <fill>
      <patternFill patternType="solid">
        <fgColor rgb="FF1F4E78"/>
        <bgColor rgb="FF000000"/>
      </patternFill>
    </fill>
    <fill>
      <patternFill patternType="solid">
        <fgColor rgb="FFFFFFFF"/>
        <bgColor rgb="FF000000"/>
      </patternFill>
    </fill>
    <fill>
      <patternFill patternType="solid">
        <fgColor theme="6"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59999389629810485"/>
        <bgColor theme="4" tint="0.59999389629810485"/>
      </patternFill>
    </fill>
    <fill>
      <patternFill patternType="solid">
        <fgColor theme="9" tint="0.59999389629810485"/>
        <bgColor theme="4" tint="0.79998168889431442"/>
      </patternFill>
    </fill>
    <fill>
      <patternFill patternType="solid">
        <fgColor theme="4" tint="0.59999389629810485"/>
        <bgColor theme="4" tint="0.59999389629810485"/>
      </patternFill>
    </fill>
    <fill>
      <patternFill patternType="solid">
        <fgColor theme="4" tint="0.59999389629810485"/>
        <bgColor indexed="64"/>
      </patternFill>
    </fill>
    <fill>
      <patternFill patternType="solid">
        <fgColor theme="4" tint="0.59999389629810485"/>
        <bgColor theme="4" tint="0.79998168889431442"/>
      </patternFill>
    </fill>
  </fills>
  <borders count="4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auto="1"/>
      </right>
      <top/>
      <bottom style="thin">
        <color auto="1"/>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style="thin">
        <color indexed="64"/>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style="thin">
        <color indexed="64"/>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rgb="FF000000"/>
      </bottom>
      <diagonal/>
    </border>
    <border>
      <left style="thin">
        <color rgb="FF000000"/>
      </left>
      <right/>
      <top style="thin">
        <color rgb="FF000000"/>
      </top>
      <bottom style="thin">
        <color indexed="64"/>
      </bottom>
      <diagonal/>
    </border>
    <border>
      <left/>
      <right/>
      <top style="thin">
        <color rgb="FF000000"/>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diagonal/>
    </border>
    <border>
      <left style="thin">
        <color indexed="64"/>
      </left>
      <right style="thin">
        <color rgb="FF000000"/>
      </right>
      <top style="thin">
        <color indexed="64"/>
      </top>
      <bottom/>
      <diagonal/>
    </border>
    <border>
      <left/>
      <right/>
      <top style="thin">
        <color indexed="64"/>
      </top>
      <bottom style="thin">
        <color rgb="FF000000"/>
      </bottom>
      <diagonal/>
    </border>
    <border>
      <left style="thin">
        <color indexed="64"/>
      </left>
      <right/>
      <top style="thin">
        <color indexed="64"/>
      </top>
      <bottom style="thin">
        <color rgb="FF000000"/>
      </bottom>
      <diagonal/>
    </border>
    <border>
      <left style="thin">
        <color auto="1"/>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auto="1"/>
      </top>
      <bottom style="thin">
        <color rgb="FF000000"/>
      </bottom>
      <diagonal/>
    </border>
  </borders>
  <cellStyleXfs count="4">
    <xf numFmtId="0" fontId="0" fillId="0" borderId="0"/>
    <xf numFmtId="0" fontId="4" fillId="0" borderId="0"/>
    <xf numFmtId="9" fontId="46" fillId="0" borderId="0" applyFont="0" applyFill="0" applyBorder="0" applyAlignment="0" applyProtection="0"/>
    <xf numFmtId="0" fontId="47" fillId="0" borderId="0" applyNumberFormat="0" applyFill="0" applyBorder="0" applyAlignment="0" applyProtection="0"/>
  </cellStyleXfs>
  <cellXfs count="70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center" wrapText="1"/>
    </xf>
    <xf numFmtId="0" fontId="1" fillId="0" borderId="0" xfId="0" applyFont="1"/>
    <xf numFmtId="0" fontId="0" fillId="0" borderId="0" xfId="0" applyAlignment="1">
      <alignment vertical="center"/>
    </xf>
    <xf numFmtId="0" fontId="6" fillId="5" borderId="0" xfId="0" applyFont="1" applyFill="1" applyAlignment="1">
      <alignment vertical="center"/>
    </xf>
    <xf numFmtId="0" fontId="1" fillId="0" borderId="0" xfId="0" applyFont="1" applyAlignment="1">
      <alignment vertical="center"/>
    </xf>
    <xf numFmtId="0" fontId="8" fillId="6" borderId="2" xfId="0" applyFont="1" applyFill="1" applyBorder="1" applyAlignment="1">
      <alignment horizontal="left" vertical="center" wrapText="1"/>
    </xf>
    <xf numFmtId="0" fontId="10" fillId="2" borderId="2" xfId="0" applyFont="1" applyFill="1" applyBorder="1" applyAlignment="1">
      <alignment vertical="center"/>
    </xf>
    <xf numFmtId="0" fontId="0" fillId="2" borderId="2" xfId="0" applyFill="1" applyBorder="1" applyAlignment="1">
      <alignment horizontal="center" vertical="center"/>
    </xf>
    <xf numFmtId="0" fontId="1" fillId="0" borderId="0" xfId="0" applyFont="1" applyAlignment="1">
      <alignment vertical="center" wrapText="1"/>
    </xf>
    <xf numFmtId="16" fontId="8" fillId="2" borderId="2" xfId="0" applyNumberFormat="1" applyFont="1" applyFill="1" applyBorder="1" applyAlignment="1">
      <alignment horizontal="left" vertical="center" wrapText="1"/>
    </xf>
    <xf numFmtId="2" fontId="8" fillId="2" borderId="2" xfId="0" applyNumberFormat="1" applyFont="1" applyFill="1" applyBorder="1" applyAlignment="1">
      <alignment horizontal="left" vertical="center" wrapText="1"/>
    </xf>
    <xf numFmtId="0" fontId="1" fillId="6" borderId="2" xfId="0" applyFont="1" applyFill="1" applyBorder="1" applyAlignment="1">
      <alignment horizontal="left" vertical="center" wrapText="1"/>
    </xf>
    <xf numFmtId="0" fontId="10"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left" vertical="center" wrapText="1"/>
    </xf>
    <xf numFmtId="0" fontId="0" fillId="0" borderId="0" xfId="0" applyAlignment="1">
      <alignment horizontal="center" vertical="center"/>
    </xf>
    <xf numFmtId="0" fontId="11" fillId="0" borderId="0" xfId="0" applyFont="1" applyAlignment="1">
      <alignment vertical="center"/>
    </xf>
    <xf numFmtId="0" fontId="6" fillId="5" borderId="0" xfId="0" applyFont="1" applyFill="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11" fillId="0" borderId="0" xfId="0" applyFont="1" applyAlignment="1">
      <alignment vertical="center" wrapText="1"/>
    </xf>
    <xf numFmtId="0" fontId="0" fillId="2" borderId="2" xfId="0" applyFill="1" applyBorder="1" applyAlignment="1">
      <alignment horizontal="left" vertical="center"/>
    </xf>
    <xf numFmtId="0" fontId="12" fillId="0" borderId="0" xfId="0" applyFont="1" applyAlignment="1">
      <alignment vertical="center"/>
    </xf>
    <xf numFmtId="0" fontId="2" fillId="6" borderId="2" xfId="0" applyFont="1" applyFill="1" applyBorder="1" applyAlignment="1">
      <alignment horizontal="left" vertical="center" wrapText="1"/>
    </xf>
    <xf numFmtId="0" fontId="10" fillId="0" borderId="0" xfId="0" applyFont="1" applyAlignment="1">
      <alignment horizontal="left" vertical="center" wrapText="1"/>
    </xf>
    <xf numFmtId="0" fontId="7" fillId="0" borderId="0" xfId="0" applyFont="1" applyAlignment="1">
      <alignment vertical="center"/>
    </xf>
    <xf numFmtId="0" fontId="0" fillId="0" borderId="2" xfId="0" applyBorder="1" applyAlignment="1">
      <alignment wrapText="1"/>
    </xf>
    <xf numFmtId="1" fontId="10" fillId="2" borderId="2" xfId="0" applyNumberFormat="1" applyFont="1" applyFill="1" applyBorder="1" applyAlignment="1">
      <alignment horizontal="center" vertical="center" wrapText="1"/>
    </xf>
    <xf numFmtId="0" fontId="8" fillId="0" borderId="0" xfId="0" applyFont="1"/>
    <xf numFmtId="0" fontId="6" fillId="0" borderId="0" xfId="0" applyFont="1" applyAlignment="1">
      <alignment vertical="center"/>
    </xf>
    <xf numFmtId="0" fontId="13" fillId="0" borderId="0" xfId="0" applyFont="1" applyAlignment="1">
      <alignment vertical="center"/>
    </xf>
    <xf numFmtId="165" fontId="0" fillId="0" borderId="0" xfId="0" applyNumberFormat="1"/>
    <xf numFmtId="165" fontId="1" fillId="7" borderId="2" xfId="0" applyNumberFormat="1" applyFont="1" applyFill="1" applyBorder="1"/>
    <xf numFmtId="165" fontId="0" fillId="2" borderId="2" xfId="0" applyNumberFormat="1" applyFill="1" applyBorder="1" applyAlignment="1">
      <alignment horizontal="center" wrapText="1"/>
    </xf>
    <xf numFmtId="165" fontId="0" fillId="2" borderId="2" xfId="0" applyNumberFormat="1" applyFill="1" applyBorder="1" applyAlignment="1">
      <alignment horizontal="center"/>
    </xf>
    <xf numFmtId="165" fontId="1" fillId="7" borderId="2" xfId="0" applyNumberFormat="1" applyFont="1" applyFill="1" applyBorder="1" applyAlignment="1">
      <alignment wrapText="1"/>
    </xf>
    <xf numFmtId="165" fontId="1" fillId="7" borderId="2" xfId="0" applyNumberFormat="1" applyFont="1" applyFill="1" applyBorder="1" applyAlignment="1">
      <alignment horizontal="center"/>
    </xf>
    <xf numFmtId="165" fontId="1" fillId="7" borderId="4" xfId="0" applyNumberFormat="1" applyFont="1" applyFill="1" applyBorder="1" applyAlignment="1">
      <alignment horizontal="center"/>
    </xf>
    <xf numFmtId="165" fontId="0" fillId="8" borderId="2" xfId="0" applyNumberFormat="1" applyFill="1" applyBorder="1" applyAlignment="1">
      <alignment wrapText="1"/>
    </xf>
    <xf numFmtId="165" fontId="0" fillId="8" borderId="2" xfId="0" applyNumberFormat="1" applyFill="1" applyBorder="1"/>
    <xf numFmtId="165" fontId="0" fillId="2" borderId="2" xfId="0" applyNumberFormat="1" applyFill="1" applyBorder="1"/>
    <xf numFmtId="165" fontId="0" fillId="2" borderId="4" xfId="0" applyNumberFormat="1" applyFill="1" applyBorder="1" applyAlignment="1">
      <alignment horizontal="center"/>
    </xf>
    <xf numFmtId="1" fontId="0" fillId="2" borderId="2" xfId="0" applyNumberFormat="1" applyFill="1" applyBorder="1" applyAlignment="1">
      <alignment horizontal="center"/>
    </xf>
    <xf numFmtId="11" fontId="0" fillId="0" borderId="0" xfId="0" applyNumberFormat="1"/>
    <xf numFmtId="0" fontId="0" fillId="0" borderId="4" xfId="0" applyBorder="1"/>
    <xf numFmtId="0" fontId="1" fillId="2" borderId="6" xfId="0" applyFont="1" applyFill="1" applyBorder="1" applyAlignment="1">
      <alignment horizontal="left" vertical="center"/>
    </xf>
    <xf numFmtId="0" fontId="0" fillId="0" borderId="2" xfId="0" applyBorder="1"/>
    <xf numFmtId="0" fontId="1" fillId="0" borderId="0" xfId="0" applyFont="1" applyAlignment="1">
      <alignment horizontal="center" vertical="center" wrapText="1"/>
    </xf>
    <xf numFmtId="0" fontId="5" fillId="0" borderId="0" xfId="0" applyFont="1"/>
    <xf numFmtId="0" fontId="10" fillId="2" borderId="2" xfId="0" applyFont="1" applyFill="1" applyBorder="1" applyAlignment="1">
      <alignment horizontal="center" vertical="center"/>
    </xf>
    <xf numFmtId="0" fontId="18" fillId="5" borderId="0" xfId="0" applyFont="1" applyFill="1" applyAlignment="1">
      <alignment vertical="center"/>
    </xf>
    <xf numFmtId="0" fontId="8" fillId="0" borderId="0" xfId="0" applyFont="1" applyAlignment="1">
      <alignment horizontal="left" vertical="center" wrapText="1"/>
    </xf>
    <xf numFmtId="0" fontId="7" fillId="0" borderId="0" xfId="0" applyFont="1"/>
    <xf numFmtId="165" fontId="8" fillId="2" borderId="2" xfId="0" applyNumberFormat="1" applyFont="1" applyFill="1" applyBorder="1"/>
    <xf numFmtId="0" fontId="10" fillId="0" borderId="0" xfId="0" applyFont="1" applyAlignment="1">
      <alignment wrapText="1"/>
    </xf>
    <xf numFmtId="0" fontId="18" fillId="0" borderId="0" xfId="0" applyFont="1" applyAlignment="1">
      <alignment vertical="center"/>
    </xf>
    <xf numFmtId="0" fontId="11" fillId="0" borderId="0" xfId="0" applyFont="1" applyAlignment="1">
      <alignment horizontal="left" vertical="center" wrapText="1"/>
    </xf>
    <xf numFmtId="0" fontId="10" fillId="0" borderId="0" xfId="0" applyFont="1" applyAlignment="1">
      <alignment horizontal="center" vertical="center" wrapText="1"/>
    </xf>
    <xf numFmtId="2" fontId="10" fillId="0" borderId="8" xfId="0" applyNumberFormat="1" applyFont="1" applyBorder="1" applyAlignment="1">
      <alignment horizontal="center" vertical="center"/>
    </xf>
    <xf numFmtId="0" fontId="12" fillId="0" borderId="0" xfId="0" applyFont="1" applyAlignment="1">
      <alignment horizontal="center" vertical="center"/>
    </xf>
    <xf numFmtId="0" fontId="0" fillId="9" borderId="0" xfId="0" applyFill="1" applyAlignment="1">
      <alignment wrapText="1"/>
    </xf>
    <xf numFmtId="0" fontId="19" fillId="0" borderId="0" xfId="0" applyFont="1" applyAlignment="1">
      <alignment vertical="center"/>
    </xf>
    <xf numFmtId="0" fontId="3" fillId="0" borderId="0" xfId="0" applyFont="1" applyAlignment="1">
      <alignment vertical="center"/>
    </xf>
    <xf numFmtId="0" fontId="21" fillId="0" borderId="0" xfId="0" applyFont="1" applyAlignment="1">
      <alignment vertical="center"/>
    </xf>
    <xf numFmtId="2" fontId="10" fillId="3" borderId="13" xfId="0" applyNumberFormat="1" applyFont="1" applyFill="1" applyBorder="1" applyAlignment="1">
      <alignment horizontal="center" vertical="center"/>
    </xf>
    <xf numFmtId="2" fontId="20" fillId="4" borderId="2" xfId="0" applyNumberFormat="1" applyFont="1" applyFill="1" applyBorder="1" applyAlignment="1">
      <alignment horizontal="left" vertical="center"/>
    </xf>
    <xf numFmtId="0" fontId="0" fillId="2" borderId="6" xfId="0" applyFill="1" applyBorder="1" applyAlignment="1">
      <alignment horizontal="left" vertical="center"/>
    </xf>
    <xf numFmtId="165" fontId="0" fillId="4" borderId="2" xfId="0" applyNumberFormat="1" applyFill="1" applyBorder="1"/>
    <xf numFmtId="0" fontId="22" fillId="0" borderId="0" xfId="0" applyFont="1"/>
    <xf numFmtId="0" fontId="0" fillId="0" borderId="2" xfId="0" applyBorder="1" applyAlignment="1">
      <alignment horizontal="center" wrapText="1"/>
    </xf>
    <xf numFmtId="0" fontId="0" fillId="6" borderId="2" xfId="0" applyFill="1" applyBorder="1" applyAlignment="1">
      <alignment horizontal="left" vertical="center" wrapText="1"/>
    </xf>
    <xf numFmtId="0" fontId="13" fillId="4" borderId="2" xfId="0" applyFont="1" applyFill="1" applyBorder="1" applyAlignment="1">
      <alignment horizontal="center" vertical="center" wrapText="1"/>
    </xf>
    <xf numFmtId="0" fontId="24" fillId="0" borderId="0" xfId="0" applyFont="1" applyAlignment="1">
      <alignment vertical="center"/>
    </xf>
    <xf numFmtId="0" fontId="1" fillId="0" borderId="2" xfId="0" applyFont="1" applyBorder="1" applyAlignment="1">
      <alignment horizontal="center" vertical="center" wrapText="1"/>
    </xf>
    <xf numFmtId="0" fontId="0" fillId="0" borderId="2" xfId="0" applyBorder="1" applyAlignment="1">
      <alignment vertical="center"/>
    </xf>
    <xf numFmtId="0" fontId="0" fillId="5" borderId="0" xfId="0" applyFill="1"/>
    <xf numFmtId="0" fontId="21" fillId="0" borderId="0" xfId="0" applyFont="1" applyAlignment="1">
      <alignment vertical="center" wrapText="1"/>
    </xf>
    <xf numFmtId="0" fontId="0" fillId="0" borderId="2" xfId="0" applyBorder="1" applyAlignment="1">
      <alignment horizontal="left" vertical="center"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0" fillId="0" borderId="2" xfId="0" applyBorder="1" applyAlignment="1">
      <alignment vertical="center" wrapText="1"/>
    </xf>
    <xf numFmtId="2" fontId="10" fillId="0" borderId="2" xfId="0" applyNumberFormat="1" applyFont="1" applyBorder="1" applyAlignment="1">
      <alignment horizontal="left" vertical="center"/>
    </xf>
    <xf numFmtId="0" fontId="10"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0" fillId="0" borderId="8" xfId="0" applyFont="1" applyBorder="1" applyAlignment="1">
      <alignment horizontal="center" vertical="center" wrapText="1"/>
    </xf>
    <xf numFmtId="2" fontId="0" fillId="3" borderId="13" xfId="0" applyNumberFormat="1" applyFill="1" applyBorder="1" applyAlignment="1">
      <alignment horizontal="center" vertical="center"/>
    </xf>
    <xf numFmtId="0" fontId="2" fillId="4" borderId="2" xfId="0" applyFont="1" applyFill="1" applyBorder="1" applyAlignment="1">
      <alignment horizontal="left" vertical="center" wrapText="1"/>
    </xf>
    <xf numFmtId="0" fontId="23" fillId="0" borderId="0" xfId="0" applyFont="1" applyAlignment="1">
      <alignment vertical="center"/>
    </xf>
    <xf numFmtId="0" fontId="0" fillId="0" borderId="2" xfId="0" applyBorder="1" applyAlignment="1">
      <alignment horizontal="left" vertical="center"/>
    </xf>
    <xf numFmtId="0" fontId="2" fillId="0" borderId="2" xfId="0" applyFont="1" applyBorder="1" applyAlignment="1">
      <alignment horizontal="left" vertical="center" wrapText="1"/>
    </xf>
    <xf numFmtId="2" fontId="26" fillId="0" borderId="2" xfId="0" applyNumberFormat="1" applyFont="1" applyBorder="1" applyAlignment="1">
      <alignment horizontal="center" vertical="center"/>
    </xf>
    <xf numFmtId="0" fontId="27" fillId="2" borderId="2" xfId="0" applyFont="1" applyFill="1" applyBorder="1" applyAlignment="1">
      <alignment horizontal="center" vertical="center"/>
    </xf>
    <xf numFmtId="2" fontId="28" fillId="0" borderId="2" xfId="0" applyNumberFormat="1" applyFont="1" applyBorder="1" applyAlignment="1">
      <alignment horizontal="left" vertical="center"/>
    </xf>
    <xf numFmtId="0" fontId="21" fillId="0" borderId="0" xfId="0" applyFont="1"/>
    <xf numFmtId="0" fontId="21" fillId="0" borderId="2" xfId="0" applyFont="1" applyBorder="1" applyAlignment="1">
      <alignment horizontal="center" vertical="center" wrapText="1"/>
    </xf>
    <xf numFmtId="1" fontId="0" fillId="0" borderId="2" xfId="0" applyNumberFormat="1" applyBorder="1" applyAlignment="1">
      <alignment horizontal="center" vertical="center" wrapText="1"/>
    </xf>
    <xf numFmtId="0" fontId="21" fillId="0" borderId="0" xfId="0" applyFont="1" applyAlignment="1">
      <alignment horizontal="left" vertical="center"/>
    </xf>
    <xf numFmtId="2" fontId="10" fillId="0" borderId="13" xfId="0" applyNumberFormat="1" applyFont="1" applyBorder="1"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left" vertical="center" wrapText="1"/>
    </xf>
    <xf numFmtId="0" fontId="0" fillId="0" borderId="2" xfId="0" applyBorder="1" applyAlignment="1">
      <alignment horizontal="center"/>
    </xf>
    <xf numFmtId="0" fontId="21" fillId="0" borderId="2" xfId="0" applyFont="1" applyBorder="1" applyAlignment="1">
      <alignment vertical="center" wrapText="1"/>
    </xf>
    <xf numFmtId="0" fontId="1" fillId="0" borderId="12" xfId="0" applyFont="1" applyBorder="1" applyAlignment="1">
      <alignment horizontal="center" vertical="center" wrapText="1"/>
    </xf>
    <xf numFmtId="0" fontId="27" fillId="2" borderId="0" xfId="0" applyFont="1" applyFill="1" applyAlignment="1">
      <alignment horizontal="center" vertical="center"/>
    </xf>
    <xf numFmtId="2" fontId="8" fillId="0" borderId="4" xfId="0" applyNumberFormat="1" applyFont="1" applyBorder="1" applyAlignment="1">
      <alignment horizontal="center" vertical="center" wrapText="1"/>
    </xf>
    <xf numFmtId="2" fontId="10" fillId="0" borderId="0" xfId="0" applyNumberFormat="1" applyFont="1" applyAlignment="1">
      <alignment horizontal="center" vertical="center"/>
    </xf>
    <xf numFmtId="0" fontId="1" fillId="2" borderId="15" xfId="0" applyFont="1" applyFill="1" applyBorder="1" applyAlignment="1">
      <alignment horizontal="left" vertical="center"/>
    </xf>
    <xf numFmtId="0" fontId="0" fillId="0" borderId="4" xfId="0" applyBorder="1" applyAlignment="1">
      <alignment horizontal="left" vertical="center" wrapText="1"/>
    </xf>
    <xf numFmtId="0" fontId="1" fillId="0" borderId="2" xfId="0" applyFont="1" applyBorder="1" applyAlignment="1">
      <alignment vertical="center"/>
    </xf>
    <xf numFmtId="0" fontId="21" fillId="0" borderId="2" xfId="0" applyFont="1" applyBorder="1" applyAlignment="1">
      <alignment horizontal="center" vertical="center"/>
    </xf>
    <xf numFmtId="0" fontId="28" fillId="0" borderId="2" xfId="0" applyFont="1" applyBorder="1" applyAlignment="1">
      <alignment horizontal="center" vertical="center" wrapText="1"/>
    </xf>
    <xf numFmtId="0" fontId="28" fillId="0" borderId="2" xfId="0" applyFont="1" applyBorder="1" applyAlignment="1">
      <alignment horizontal="left" vertical="center" wrapText="1"/>
    </xf>
    <xf numFmtId="0" fontId="1" fillId="3" borderId="2" xfId="0" applyFont="1" applyFill="1" applyBorder="1" applyAlignment="1">
      <alignment horizontal="center" vertical="center" wrapText="1"/>
    </xf>
    <xf numFmtId="2" fontId="0" fillId="0" borderId="16" xfId="0" applyNumberFormat="1" applyBorder="1" applyAlignment="1">
      <alignment horizontal="left" vertical="center"/>
    </xf>
    <xf numFmtId="2" fontId="0" fillId="0" borderId="17" xfId="0" applyNumberFormat="1" applyBorder="1" applyAlignment="1">
      <alignment horizontal="left" vertical="center"/>
    </xf>
    <xf numFmtId="0" fontId="25" fillId="0" borderId="2" xfId="0" applyFont="1" applyBorder="1" applyAlignment="1">
      <alignment wrapText="1"/>
    </xf>
    <xf numFmtId="2" fontId="10" fillId="0" borderId="2" xfId="0" applyNumberFormat="1" applyFont="1" applyBorder="1" applyAlignment="1">
      <alignment horizontal="center" vertical="center"/>
    </xf>
    <xf numFmtId="2" fontId="10" fillId="0" borderId="17" xfId="0" applyNumberFormat="1" applyFont="1" applyBorder="1" applyAlignment="1">
      <alignment horizontal="left" vertical="center"/>
    </xf>
    <xf numFmtId="0" fontId="21" fillId="0" borderId="2" xfId="0" applyFont="1" applyBorder="1" applyAlignment="1">
      <alignment wrapText="1"/>
    </xf>
    <xf numFmtId="0" fontId="12" fillId="0" borderId="2" xfId="0" applyFont="1" applyBorder="1" applyAlignment="1">
      <alignment horizontal="center" vertical="center" wrapText="1"/>
    </xf>
    <xf numFmtId="0" fontId="0" fillId="3" borderId="2" xfId="0" applyFill="1" applyBorder="1" applyAlignment="1">
      <alignment horizontal="center" vertical="center" wrapText="1"/>
    </xf>
    <xf numFmtId="0" fontId="30" fillId="0" borderId="0" xfId="0" applyFont="1" applyAlignment="1">
      <alignment vertical="center"/>
    </xf>
    <xf numFmtId="2" fontId="10" fillId="3" borderId="17" xfId="0" applyNumberFormat="1" applyFont="1" applyFill="1" applyBorder="1" applyAlignment="1">
      <alignment horizontal="center" vertical="center"/>
    </xf>
    <xf numFmtId="0" fontId="0" fillId="5" borderId="0" xfId="0" applyFill="1" applyAlignment="1">
      <alignment vertical="center"/>
    </xf>
    <xf numFmtId="2" fontId="27" fillId="0" borderId="2" xfId="0" applyNumberFormat="1" applyFont="1" applyBorder="1" applyAlignment="1">
      <alignment horizontal="center" vertical="center"/>
    </xf>
    <xf numFmtId="1" fontId="1" fillId="2" borderId="2" xfId="0" applyNumberFormat="1" applyFont="1" applyFill="1" applyBorder="1" applyAlignment="1">
      <alignment horizontal="left" vertical="center" wrapText="1"/>
    </xf>
    <xf numFmtId="1" fontId="1" fillId="0" borderId="2" xfId="0" applyNumberFormat="1" applyFont="1" applyBorder="1" applyAlignment="1">
      <alignment horizontal="left" vertical="center" wrapText="1"/>
    </xf>
    <xf numFmtId="0" fontId="1" fillId="3" borderId="2" xfId="0" applyFont="1" applyFill="1" applyBorder="1" applyAlignment="1">
      <alignment horizontal="left" vertical="center" wrapText="1"/>
    </xf>
    <xf numFmtId="0" fontId="27" fillId="0" borderId="2" xfId="0" applyFont="1" applyBorder="1" applyAlignment="1">
      <alignment horizontal="center" vertical="center"/>
    </xf>
    <xf numFmtId="0" fontId="21" fillId="0" borderId="2" xfId="0" applyFont="1" applyBorder="1"/>
    <xf numFmtId="0" fontId="1" fillId="2" borderId="2" xfId="0" applyFont="1" applyFill="1" applyBorder="1" applyAlignment="1">
      <alignment horizontal="center" vertical="center"/>
    </xf>
    <xf numFmtId="0" fontId="0" fillId="0" borderId="4" xfId="0" applyBorder="1" applyAlignment="1">
      <alignment horizontal="right"/>
    </xf>
    <xf numFmtId="0" fontId="1" fillId="0" borderId="0" xfId="0" applyFont="1" applyAlignment="1">
      <alignment horizontal="center" vertical="center"/>
    </xf>
    <xf numFmtId="0" fontId="2" fillId="0" borderId="0" xfId="0" applyFont="1" applyAlignment="1">
      <alignment wrapText="1"/>
    </xf>
    <xf numFmtId="0" fontId="13" fillId="0" borderId="2" xfId="0" applyFont="1" applyBorder="1" applyAlignment="1">
      <alignment horizontal="center" vertical="center" wrapText="1"/>
    </xf>
    <xf numFmtId="0" fontId="1" fillId="0" borderId="2" xfId="0" applyFont="1" applyBorder="1" applyAlignment="1">
      <alignment horizontal="center" vertical="center"/>
    </xf>
    <xf numFmtId="0" fontId="21" fillId="0" borderId="2" xfId="0" applyFont="1" applyBorder="1" applyAlignment="1">
      <alignment horizontal="left" vertical="center" wrapText="1"/>
    </xf>
    <xf numFmtId="2" fontId="8" fillId="2" borderId="4" xfId="0" applyNumberFormat="1" applyFont="1" applyFill="1" applyBorder="1" applyAlignment="1">
      <alignment horizontal="center" vertical="center" wrapText="1"/>
    </xf>
    <xf numFmtId="0" fontId="2" fillId="0" borderId="0" xfId="0" applyFont="1" applyAlignment="1">
      <alignment horizontal="left" vertical="center" wrapText="1"/>
    </xf>
    <xf numFmtId="2" fontId="26" fillId="0" borderId="0" xfId="0" applyNumberFormat="1" applyFont="1" applyAlignment="1">
      <alignment horizontal="center" vertical="center"/>
    </xf>
    <xf numFmtId="2" fontId="10" fillId="0" borderId="0" xfId="0" applyNumberFormat="1" applyFont="1" applyAlignment="1">
      <alignment horizontal="left" vertical="center"/>
    </xf>
    <xf numFmtId="0" fontId="21" fillId="0" borderId="0" xfId="0" applyFont="1" applyAlignment="1">
      <alignment horizontal="left" wrapText="1"/>
    </xf>
    <xf numFmtId="0" fontId="1" fillId="0" borderId="2" xfId="0" applyFont="1" applyBorder="1" applyAlignment="1">
      <alignment vertical="center" wrapText="1"/>
    </xf>
    <xf numFmtId="0" fontId="0" fillId="5" borderId="0" xfId="0" applyFill="1" applyAlignment="1">
      <alignment vertical="center" wrapText="1"/>
    </xf>
    <xf numFmtId="165" fontId="2" fillId="2" borderId="2" xfId="0" applyNumberFormat="1" applyFont="1" applyFill="1" applyBorder="1" applyAlignment="1">
      <alignment horizontal="center" wrapText="1"/>
    </xf>
    <xf numFmtId="0" fontId="2" fillId="0" borderId="2" xfId="0" applyFont="1" applyBorder="1" applyAlignment="1">
      <alignment horizontal="center" wrapText="1"/>
    </xf>
    <xf numFmtId="0" fontId="2" fillId="0" borderId="2" xfId="0" applyFont="1" applyBorder="1" applyAlignment="1">
      <alignment wrapText="1"/>
    </xf>
    <xf numFmtId="0" fontId="27" fillId="4" borderId="8" xfId="0" applyFont="1" applyFill="1" applyBorder="1" applyAlignment="1">
      <alignment horizontal="center" vertical="center"/>
    </xf>
    <xf numFmtId="0" fontId="2" fillId="4" borderId="4" xfId="0" applyFont="1" applyFill="1" applyBorder="1" applyAlignment="1">
      <alignment horizontal="left" vertical="center" wrapText="1"/>
    </xf>
    <xf numFmtId="2" fontId="9" fillId="4" borderId="6" xfId="0" applyNumberFormat="1" applyFont="1" applyFill="1" applyBorder="1" applyAlignment="1">
      <alignment horizontal="left" vertical="center"/>
    </xf>
    <xf numFmtId="0" fontId="32" fillId="0" borderId="0" xfId="0" applyFont="1"/>
    <xf numFmtId="2" fontId="20" fillId="0" borderId="4" xfId="0" applyNumberFormat="1" applyFont="1" applyBorder="1" applyAlignment="1">
      <alignment horizontal="left" vertical="center"/>
    </xf>
    <xf numFmtId="2" fontId="20" fillId="4" borderId="4" xfId="0" applyNumberFormat="1" applyFont="1" applyFill="1" applyBorder="1" applyAlignment="1">
      <alignment horizontal="left" vertical="center"/>
    </xf>
    <xf numFmtId="0" fontId="34" fillId="0" borderId="0" xfId="0" applyFont="1" applyAlignment="1">
      <alignment vertical="center"/>
    </xf>
    <xf numFmtId="0" fontId="35" fillId="0" borderId="6" xfId="0" applyFont="1" applyBorder="1" applyAlignment="1">
      <alignment vertical="center"/>
    </xf>
    <xf numFmtId="0" fontId="5" fillId="0" borderId="0" xfId="0" applyFont="1" applyAlignment="1">
      <alignment vertical="center"/>
    </xf>
    <xf numFmtId="0" fontId="14" fillId="0" borderId="6" xfId="0" applyFont="1" applyBorder="1" applyAlignment="1">
      <alignment vertical="center" wrapText="1"/>
    </xf>
    <xf numFmtId="0" fontId="35" fillId="0" borderId="6"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14" fillId="0" borderId="10" xfId="0" applyFont="1" applyBorder="1" applyAlignment="1">
      <alignment horizontal="center" vertical="center"/>
    </xf>
    <xf numFmtId="2" fontId="5" fillId="0" borderId="10"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6" xfId="0" applyNumberFormat="1" applyFont="1" applyBorder="1" applyAlignment="1">
      <alignment horizontal="center" vertical="center"/>
    </xf>
    <xf numFmtId="2" fontId="14" fillId="0" borderId="10" xfId="0" applyNumberFormat="1" applyFont="1" applyBorder="1" applyAlignment="1">
      <alignment horizontal="center" vertical="center"/>
    </xf>
    <xf numFmtId="166" fontId="5" fillId="0" borderId="10" xfId="0" applyNumberFormat="1" applyFont="1" applyBorder="1" applyAlignment="1">
      <alignment horizontal="center" vertical="center"/>
    </xf>
    <xf numFmtId="166" fontId="14" fillId="0" borderId="10" xfId="0" applyNumberFormat="1" applyFont="1" applyBorder="1" applyAlignment="1">
      <alignment horizontal="center" vertical="center"/>
    </xf>
    <xf numFmtId="164" fontId="5" fillId="0" borderId="10" xfId="0" applyNumberFormat="1" applyFont="1" applyBorder="1" applyAlignment="1">
      <alignment horizontal="center" vertical="center"/>
    </xf>
    <xf numFmtId="0" fontId="39" fillId="10" borderId="0" xfId="0" applyFont="1" applyFill="1" applyAlignment="1">
      <alignment vertical="center"/>
    </xf>
    <xf numFmtId="0" fontId="40" fillId="10" borderId="0" xfId="0" applyFont="1" applyFill="1" applyAlignment="1">
      <alignment vertical="center"/>
    </xf>
    <xf numFmtId="0" fontId="23" fillId="5" borderId="0" xfId="0" applyFont="1" applyFill="1" applyAlignment="1">
      <alignment vertical="center"/>
    </xf>
    <xf numFmtId="0" fontId="5" fillId="0" borderId="8" xfId="0" applyFont="1" applyBorder="1" applyAlignment="1">
      <alignment vertical="center"/>
    </xf>
    <xf numFmtId="0" fontId="42" fillId="0" borderId="0" xfId="0" applyFont="1" applyAlignment="1">
      <alignment vertical="center"/>
    </xf>
    <xf numFmtId="0" fontId="35" fillId="0" borderId="2" xfId="0" applyFont="1" applyBorder="1" applyAlignment="1">
      <alignment vertical="center"/>
    </xf>
    <xf numFmtId="0" fontId="35" fillId="0" borderId="6" xfId="0" applyFont="1" applyBorder="1" applyAlignment="1">
      <alignment horizontal="center" vertical="center" wrapText="1"/>
    </xf>
    <xf numFmtId="0" fontId="5" fillId="0" borderId="10" xfId="0" applyFont="1" applyBorder="1" applyAlignment="1">
      <alignment vertical="center" wrapText="1"/>
    </xf>
    <xf numFmtId="0" fontId="35" fillId="0" borderId="8" xfId="0" applyFont="1" applyBorder="1" applyAlignment="1">
      <alignment vertical="center"/>
    </xf>
    <xf numFmtId="0" fontId="5" fillId="0" borderId="8" xfId="0" applyFont="1" applyBorder="1" applyAlignment="1">
      <alignment horizontal="center" vertical="center"/>
    </xf>
    <xf numFmtId="164" fontId="14" fillId="0" borderId="10" xfId="0" applyNumberFormat="1" applyFont="1" applyBorder="1" applyAlignment="1">
      <alignment horizontal="center" vertical="center"/>
    </xf>
    <xf numFmtId="0" fontId="14" fillId="0" borderId="1" xfId="0" applyFont="1" applyBorder="1" applyAlignment="1">
      <alignment vertical="center" wrapText="1"/>
    </xf>
    <xf numFmtId="2" fontId="14" fillId="0" borderId="1" xfId="0" applyNumberFormat="1" applyFont="1" applyBorder="1" applyAlignment="1">
      <alignment horizontal="center" vertical="center"/>
    </xf>
    <xf numFmtId="0" fontId="14" fillId="0" borderId="10" xfId="0" applyFont="1" applyBorder="1" applyAlignment="1">
      <alignment vertical="center" wrapText="1"/>
    </xf>
    <xf numFmtId="0" fontId="43" fillId="0" borderId="0" xfId="0" applyFont="1" applyAlignment="1">
      <alignment vertical="center"/>
    </xf>
    <xf numFmtId="0" fontId="14" fillId="0" borderId="8" xfId="0" applyFont="1" applyBorder="1" applyAlignment="1">
      <alignment vertical="center"/>
    </xf>
    <xf numFmtId="0" fontId="38" fillId="0" borderId="0" xfId="0" applyFont="1" applyAlignment="1">
      <alignment vertical="center"/>
    </xf>
    <xf numFmtId="0" fontId="35" fillId="0" borderId="0" xfId="0" applyFont="1" applyAlignment="1">
      <alignment vertical="center"/>
    </xf>
    <xf numFmtId="0" fontId="14" fillId="0" borderId="9" xfId="0" applyFont="1" applyBorder="1" applyAlignment="1">
      <alignment vertical="center" wrapText="1"/>
    </xf>
    <xf numFmtId="0" fontId="41" fillId="0" borderId="8" xfId="0" applyFont="1" applyBorder="1" applyAlignment="1">
      <alignment vertical="center"/>
    </xf>
    <xf numFmtId="0" fontId="44" fillId="0" borderId="0" xfId="0" applyFont="1" applyAlignment="1">
      <alignment vertical="center"/>
    </xf>
    <xf numFmtId="0" fontId="0" fillId="0" borderId="0" xfId="0" applyAlignment="1">
      <alignment horizontal="left" vertical="center"/>
    </xf>
    <xf numFmtId="0" fontId="5" fillId="0" borderId="10" xfId="0" quotePrefix="1" applyFont="1" applyBorder="1" applyAlignment="1">
      <alignment horizontal="center" vertical="center"/>
    </xf>
    <xf numFmtId="0" fontId="14" fillId="0" borderId="10" xfId="0" quotePrefix="1" applyFont="1" applyBorder="1" applyAlignment="1">
      <alignment horizontal="center" vertical="center"/>
    </xf>
    <xf numFmtId="166" fontId="5" fillId="0" borderId="10" xfId="0" quotePrefix="1" applyNumberFormat="1" applyFont="1" applyBorder="1" applyAlignment="1">
      <alignment horizontal="center" vertical="center"/>
    </xf>
    <xf numFmtId="166" fontId="14" fillId="0" borderId="10" xfId="0" quotePrefix="1" applyNumberFormat="1" applyFont="1" applyBorder="1" applyAlignment="1">
      <alignment horizontal="center" vertical="center"/>
    </xf>
    <xf numFmtId="0" fontId="14" fillId="0" borderId="9" xfId="0" quotePrefix="1" applyFont="1" applyBorder="1" applyAlignment="1">
      <alignment horizontal="center" vertical="center"/>
    </xf>
    <xf numFmtId="2" fontId="8" fillId="2" borderId="2" xfId="0" applyNumberFormat="1" applyFont="1" applyFill="1" applyBorder="1" applyAlignment="1">
      <alignment horizontal="center" vertical="center" wrapText="1"/>
    </xf>
    <xf numFmtId="0" fontId="25" fillId="0" borderId="14" xfId="0" applyFont="1" applyBorder="1" applyAlignment="1">
      <alignment vertical="center" wrapText="1"/>
    </xf>
    <xf numFmtId="0" fontId="25" fillId="0" borderId="2" xfId="0" applyFont="1" applyBorder="1" applyAlignment="1">
      <alignment vertical="center" wrapText="1"/>
    </xf>
    <xf numFmtId="2" fontId="12" fillId="0" borderId="8" xfId="0" applyNumberFormat="1" applyFont="1" applyBorder="1" applyAlignment="1">
      <alignment horizontal="center" vertical="center"/>
    </xf>
    <xf numFmtId="0" fontId="14" fillId="0" borderId="2" xfId="0" applyFont="1" applyBorder="1" applyAlignment="1">
      <alignment vertical="center" wrapText="1"/>
    </xf>
    <xf numFmtId="0" fontId="35" fillId="0" borderId="5" xfId="0" applyFont="1" applyBorder="1" applyAlignment="1">
      <alignment vertical="center"/>
    </xf>
    <xf numFmtId="167" fontId="5" fillId="0" borderId="10" xfId="0" applyNumberFormat="1" applyFont="1" applyBorder="1" applyAlignment="1">
      <alignment horizontal="center" vertical="center"/>
    </xf>
    <xf numFmtId="0" fontId="35" fillId="0" borderId="5" xfId="0" applyFont="1" applyBorder="1" applyAlignment="1">
      <alignment horizontal="center" vertical="center"/>
    </xf>
    <xf numFmtId="0" fontId="35" fillId="0" borderId="13" xfId="0" applyFont="1" applyBorder="1" applyAlignment="1">
      <alignment horizontal="center" vertical="center"/>
    </xf>
    <xf numFmtId="2" fontId="14" fillId="0" borderId="9" xfId="0" applyNumberFormat="1" applyFont="1" applyBorder="1" applyAlignment="1">
      <alignment horizontal="center" vertical="center"/>
    </xf>
    <xf numFmtId="0" fontId="14" fillId="0" borderId="13" xfId="0" applyFont="1" applyBorder="1" applyAlignment="1">
      <alignment horizontal="center" vertical="center"/>
    </xf>
    <xf numFmtId="2" fontId="14" fillId="0" borderId="4" xfId="0" applyNumberFormat="1" applyFont="1" applyBorder="1" applyAlignment="1">
      <alignment horizontal="center" vertical="center"/>
    </xf>
    <xf numFmtId="0" fontId="5" fillId="0" borderId="2" xfId="0" applyFont="1" applyBorder="1" applyAlignment="1">
      <alignment vertical="center"/>
    </xf>
    <xf numFmtId="0" fontId="12" fillId="0" borderId="0" xfId="0" applyFont="1"/>
    <xf numFmtId="10" fontId="10" fillId="2" borderId="2" xfId="0" applyNumberFormat="1" applyFont="1" applyFill="1" applyBorder="1" applyAlignment="1">
      <alignment vertical="center"/>
    </xf>
    <xf numFmtId="168" fontId="8" fillId="2" borderId="2" xfId="0" applyNumberFormat="1" applyFont="1" applyFill="1" applyBorder="1" applyAlignment="1">
      <alignment horizontal="left" vertical="center" wrapText="1"/>
    </xf>
    <xf numFmtId="4" fontId="8" fillId="2" borderId="8" xfId="0" applyNumberFormat="1" applyFont="1" applyFill="1" applyBorder="1" applyAlignment="1">
      <alignment horizontal="left" vertical="center" wrapText="1"/>
    </xf>
    <xf numFmtId="4" fontId="0" fillId="0" borderId="8" xfId="0" applyNumberFormat="1" applyBorder="1" applyAlignment="1">
      <alignment horizontal="center" vertical="center"/>
    </xf>
    <xf numFmtId="4" fontId="8" fillId="2" borderId="2" xfId="0" applyNumberFormat="1" applyFont="1" applyFill="1" applyBorder="1" applyAlignment="1">
      <alignment horizontal="left" vertical="center" wrapText="1"/>
    </xf>
    <xf numFmtId="4" fontId="0" fillId="0" borderId="2" xfId="0" applyNumberFormat="1" applyBorder="1" applyAlignment="1">
      <alignment horizontal="center" vertical="center"/>
    </xf>
    <xf numFmtId="168" fontId="8" fillId="2" borderId="8" xfId="0" applyNumberFormat="1" applyFont="1" applyFill="1" applyBorder="1" applyAlignment="1">
      <alignment horizontal="left" vertical="center" wrapText="1"/>
    </xf>
    <xf numFmtId="0" fontId="0" fillId="7" borderId="0" xfId="0" applyFill="1"/>
    <xf numFmtId="0" fontId="10" fillId="7" borderId="0" xfId="0" applyFont="1" applyFill="1"/>
    <xf numFmtId="0" fontId="0" fillId="7" borderId="2" xfId="0" applyFill="1" applyBorder="1" applyAlignment="1">
      <alignment wrapText="1"/>
    </xf>
    <xf numFmtId="0" fontId="7" fillId="7" borderId="0" xfId="0" applyFont="1" applyFill="1"/>
    <xf numFmtId="0" fontId="1" fillId="7" borderId="2" xfId="0" applyFont="1" applyFill="1" applyBorder="1"/>
    <xf numFmtId="0" fontId="1" fillId="7" borderId="2" xfId="0" applyFont="1" applyFill="1" applyBorder="1" applyAlignment="1">
      <alignment horizontal="center" vertical="center" wrapText="1"/>
    </xf>
    <xf numFmtId="0" fontId="0" fillId="7" borderId="0" xfId="0" applyFill="1" applyAlignment="1">
      <alignment vertical="center"/>
    </xf>
    <xf numFmtId="0" fontId="0" fillId="7" borderId="2" xfId="0" applyFill="1" applyBorder="1" applyAlignment="1">
      <alignment horizontal="left" vertical="center"/>
    </xf>
    <xf numFmtId="0" fontId="10" fillId="7" borderId="0" xfId="0" applyFont="1" applyFill="1" applyAlignment="1">
      <alignment horizontal="left" vertical="center" wrapText="1"/>
    </xf>
    <xf numFmtId="0" fontId="0" fillId="7" borderId="2" xfId="0" applyFill="1" applyBorder="1" applyAlignment="1">
      <alignment horizontal="left" vertical="center" wrapText="1"/>
    </xf>
    <xf numFmtId="0" fontId="0" fillId="7" borderId="0" xfId="0" applyFill="1" applyAlignment="1">
      <alignment horizontal="left" vertical="center" wrapText="1"/>
    </xf>
    <xf numFmtId="0" fontId="0" fillId="7" borderId="2" xfId="0" applyFill="1" applyBorder="1" applyAlignment="1">
      <alignment vertical="center"/>
    </xf>
    <xf numFmtId="11" fontId="0" fillId="7" borderId="2" xfId="0" applyNumberFormat="1" applyFill="1" applyBorder="1" applyAlignment="1">
      <alignment horizontal="center" vertical="center" wrapText="1"/>
    </xf>
    <xf numFmtId="0" fontId="1" fillId="7" borderId="13" xfId="0" applyFont="1" applyFill="1" applyBorder="1" applyAlignment="1">
      <alignment horizontal="left" vertical="center"/>
    </xf>
    <xf numFmtId="0" fontId="1" fillId="7" borderId="13" xfId="0" applyFont="1" applyFill="1" applyBorder="1" applyAlignment="1">
      <alignment horizontal="center" vertical="center"/>
    </xf>
    <xf numFmtId="0" fontId="2" fillId="3" borderId="2" xfId="0" applyFont="1" applyFill="1" applyBorder="1" applyAlignment="1">
      <alignment horizontal="left" vertical="center" wrapText="1"/>
    </xf>
    <xf numFmtId="0" fontId="2" fillId="3" borderId="2" xfId="0" applyFont="1" applyFill="1" applyBorder="1" applyAlignment="1">
      <alignment horizontal="center" vertical="center" wrapText="1"/>
    </xf>
    <xf numFmtId="1" fontId="2" fillId="2" borderId="2" xfId="0" applyNumberFormat="1" applyFont="1" applyFill="1" applyBorder="1" applyAlignment="1">
      <alignment horizontal="center" vertical="center" wrapText="1"/>
    </xf>
    <xf numFmtId="4" fontId="10" fillId="0" borderId="8" xfId="0" applyNumberFormat="1" applyFont="1" applyBorder="1" applyAlignment="1">
      <alignment horizontal="center" vertical="center"/>
    </xf>
    <xf numFmtId="1" fontId="2" fillId="2" borderId="8" xfId="0" applyNumberFormat="1" applyFont="1" applyFill="1" applyBorder="1" applyAlignment="1">
      <alignment horizontal="center" vertical="center" wrapText="1"/>
    </xf>
    <xf numFmtId="0" fontId="33" fillId="7" borderId="0" xfId="0" applyFont="1" applyFill="1"/>
    <xf numFmtId="0" fontId="0" fillId="7" borderId="2" xfId="0" applyFill="1" applyBorder="1" applyAlignment="1">
      <alignment vertical="center" wrapText="1"/>
    </xf>
    <xf numFmtId="11" fontId="1" fillId="7" borderId="2" xfId="0" applyNumberFormat="1" applyFont="1" applyFill="1" applyBorder="1" applyAlignment="1">
      <alignment horizontal="center" vertical="center" wrapText="1"/>
    </xf>
    <xf numFmtId="3" fontId="1" fillId="0" borderId="2" xfId="0" applyNumberFormat="1" applyFont="1" applyBorder="1" applyAlignment="1">
      <alignment horizontal="center" vertical="center" wrapText="1"/>
    </xf>
    <xf numFmtId="4" fontId="1" fillId="0" borderId="8" xfId="0" applyNumberFormat="1" applyFont="1" applyBorder="1" applyAlignment="1">
      <alignment horizontal="center" vertical="center"/>
    </xf>
    <xf numFmtId="0" fontId="22" fillId="7" borderId="0" xfId="0" applyFont="1" applyFill="1"/>
    <xf numFmtId="0" fontId="0" fillId="7" borderId="0" xfId="0" applyFill="1" applyAlignment="1">
      <alignment wrapText="1"/>
    </xf>
    <xf numFmtId="0" fontId="0" fillId="7" borderId="2" xfId="0" applyFill="1" applyBorder="1" applyAlignment="1">
      <alignment horizontal="center" wrapText="1"/>
    </xf>
    <xf numFmtId="0" fontId="0" fillId="7" borderId="2" xfId="0" applyFill="1" applyBorder="1"/>
    <xf numFmtId="10" fontId="10" fillId="2" borderId="2" xfId="2" applyNumberFormat="1" applyFont="1" applyFill="1" applyBorder="1" applyAlignment="1">
      <alignment vertical="center"/>
    </xf>
    <xf numFmtId="10" fontId="0" fillId="2" borderId="2" xfId="2" applyNumberFormat="1" applyFont="1" applyFill="1" applyBorder="1" applyAlignment="1">
      <alignment horizontal="center" vertical="center"/>
    </xf>
    <xf numFmtId="16" fontId="9" fillId="2" borderId="2" xfId="0" applyNumberFormat="1" applyFont="1" applyFill="1" applyBorder="1" applyAlignment="1">
      <alignment horizontal="left" vertical="center" wrapText="1"/>
    </xf>
    <xf numFmtId="2" fontId="10" fillId="3" borderId="13" xfId="0" applyNumberFormat="1" applyFont="1" applyFill="1" applyBorder="1" applyAlignment="1">
      <alignment horizontal="center" vertical="center" wrapText="1"/>
    </xf>
    <xf numFmtId="1" fontId="1" fillId="3" borderId="5" xfId="0" applyNumberFormat="1" applyFont="1" applyFill="1" applyBorder="1" applyAlignment="1">
      <alignment horizontal="center" vertical="center" wrapText="1"/>
    </xf>
    <xf numFmtId="0" fontId="0" fillId="3" borderId="29" xfId="0" applyFill="1" applyBorder="1" applyAlignment="1">
      <alignment horizontal="center" vertical="center"/>
    </xf>
    <xf numFmtId="0" fontId="1" fillId="7" borderId="17" xfId="0" applyFont="1" applyFill="1" applyBorder="1"/>
    <xf numFmtId="4" fontId="13" fillId="3" borderId="8" xfId="0" applyNumberFormat="1" applyFont="1" applyFill="1" applyBorder="1" applyAlignment="1">
      <alignment horizontal="center" vertical="center" wrapText="1"/>
    </xf>
    <xf numFmtId="4" fontId="13" fillId="3" borderId="2" xfId="0" applyNumberFormat="1" applyFont="1" applyFill="1" applyBorder="1" applyAlignment="1">
      <alignment horizontal="center" vertical="center" wrapText="1"/>
    </xf>
    <xf numFmtId="0" fontId="1" fillId="7" borderId="17" xfId="0" applyFont="1" applyFill="1" applyBorder="1" applyAlignment="1">
      <alignment horizontal="center" vertical="center"/>
    </xf>
    <xf numFmtId="1" fontId="10" fillId="2" borderId="4" xfId="0" applyNumberFormat="1" applyFont="1" applyFill="1" applyBorder="1" applyAlignment="1">
      <alignment horizontal="center" vertical="center" wrapText="1"/>
    </xf>
    <xf numFmtId="0" fontId="10" fillId="0" borderId="2" xfId="0" applyFont="1" applyBorder="1" applyAlignment="1">
      <alignment vertical="top" wrapText="1"/>
    </xf>
    <xf numFmtId="1" fontId="10" fillId="0" borderId="0" xfId="0" applyNumberFormat="1" applyFont="1" applyAlignment="1">
      <alignment horizontal="center" vertical="center" wrapText="1"/>
    </xf>
    <xf numFmtId="0" fontId="2" fillId="3" borderId="18" xfId="0" applyFont="1" applyFill="1" applyBorder="1" applyAlignment="1">
      <alignment horizontal="center" vertical="center" wrapText="1"/>
    </xf>
    <xf numFmtId="0" fontId="0" fillId="7" borderId="0" xfId="0" applyFill="1" applyAlignment="1">
      <alignment vertical="center" wrapText="1"/>
    </xf>
    <xf numFmtId="0" fontId="10" fillId="7" borderId="0" xfId="0" applyFont="1" applyFill="1" applyAlignment="1">
      <alignment vertical="center" wrapText="1"/>
    </xf>
    <xf numFmtId="0" fontId="0" fillId="7" borderId="0" xfId="0" applyFill="1" applyAlignment="1">
      <alignment horizontal="left" vertical="center"/>
    </xf>
    <xf numFmtId="1" fontId="2" fillId="7" borderId="0" xfId="0" applyNumberFormat="1" applyFont="1" applyFill="1" applyAlignment="1">
      <alignment horizontal="center" vertical="center" wrapText="1"/>
    </xf>
    <xf numFmtId="0" fontId="0" fillId="7" borderId="0" xfId="0" applyFill="1" applyAlignment="1">
      <alignment horizontal="center" vertical="center" wrapText="1"/>
    </xf>
    <xf numFmtId="0" fontId="1" fillId="7" borderId="0" xfId="0" applyFont="1" applyFill="1" applyAlignment="1">
      <alignment horizontal="left" vertical="center"/>
    </xf>
    <xf numFmtId="0" fontId="1" fillId="7" borderId="0" xfId="0" applyFont="1" applyFill="1" applyAlignment="1">
      <alignment horizontal="center" vertical="center"/>
    </xf>
    <xf numFmtId="0" fontId="2" fillId="3" borderId="30" xfId="0" applyFont="1" applyFill="1" applyBorder="1" applyAlignment="1">
      <alignment horizontal="left" vertical="center" wrapText="1"/>
    </xf>
    <xf numFmtId="0" fontId="28" fillId="3" borderId="2" xfId="0" applyFont="1" applyFill="1" applyBorder="1" applyAlignment="1">
      <alignment horizontal="center" vertical="center" wrapText="1"/>
    </xf>
    <xf numFmtId="1" fontId="1" fillId="3" borderId="2" xfId="0" applyNumberFormat="1" applyFont="1" applyFill="1" applyBorder="1" applyAlignment="1">
      <alignment horizontal="center" vertical="center" wrapText="1"/>
    </xf>
    <xf numFmtId="0" fontId="0" fillId="3" borderId="2" xfId="0" applyFill="1" applyBorder="1" applyAlignment="1">
      <alignment horizontal="center" vertical="center"/>
    </xf>
    <xf numFmtId="0" fontId="47" fillId="0" borderId="0" xfId="3" applyAlignment="1">
      <alignment vertical="center"/>
    </xf>
    <xf numFmtId="0" fontId="39" fillId="10" borderId="0" xfId="0" applyFont="1" applyFill="1" applyAlignment="1">
      <alignment horizontal="left" vertical="center"/>
    </xf>
    <xf numFmtId="0" fontId="8" fillId="3" borderId="2" xfId="0" applyFont="1" applyFill="1" applyBorder="1" applyAlignment="1">
      <alignment horizontal="left" vertical="center" wrapText="1"/>
    </xf>
    <xf numFmtId="0" fontId="0" fillId="0" borderId="32" xfId="0" applyBorder="1" applyAlignment="1">
      <alignment vertical="center" wrapText="1"/>
    </xf>
    <xf numFmtId="0" fontId="5" fillId="0" borderId="8" xfId="0" applyFont="1" applyBorder="1" applyAlignment="1">
      <alignment vertical="center" wrapText="1"/>
    </xf>
    <xf numFmtId="3" fontId="2" fillId="2" borderId="2" xfId="0" applyNumberFormat="1" applyFont="1" applyFill="1" applyBorder="1" applyAlignment="1">
      <alignment horizontal="center" vertical="center" wrapText="1"/>
    </xf>
    <xf numFmtId="3" fontId="0" fillId="7" borderId="2" xfId="0" applyNumberFormat="1" applyFill="1" applyBorder="1" applyAlignment="1">
      <alignment horizontal="center" vertical="center" wrapText="1"/>
    </xf>
    <xf numFmtId="4" fontId="2" fillId="3" borderId="8" xfId="0" applyNumberFormat="1" applyFont="1" applyFill="1" applyBorder="1" applyAlignment="1">
      <alignment horizontal="center" vertical="center" wrapText="1"/>
    </xf>
    <xf numFmtId="4" fontId="2" fillId="3" borderId="2" xfId="0" applyNumberFormat="1" applyFont="1" applyFill="1" applyBorder="1" applyAlignment="1">
      <alignment horizontal="center" vertical="center" wrapText="1"/>
    </xf>
    <xf numFmtId="4" fontId="12" fillId="0" borderId="8" xfId="0" applyNumberFormat="1" applyFont="1" applyBorder="1" applyAlignment="1">
      <alignment horizontal="center" vertical="center"/>
    </xf>
    <xf numFmtId="3" fontId="2" fillId="2" borderId="8" xfId="0" applyNumberFormat="1" applyFont="1" applyFill="1" applyBorder="1" applyAlignment="1">
      <alignment horizontal="center" vertical="center" wrapText="1"/>
    </xf>
    <xf numFmtId="0" fontId="2" fillId="3" borderId="8" xfId="0" applyFont="1" applyFill="1" applyBorder="1" applyAlignment="1">
      <alignment horizontal="center" vertical="center" wrapText="1"/>
    </xf>
    <xf numFmtId="0" fontId="8" fillId="0" borderId="0" xfId="0" applyFont="1" applyAlignment="1">
      <alignment horizontal="left" vertical="center"/>
    </xf>
    <xf numFmtId="0" fontId="35" fillId="0" borderId="0" xfId="0" applyFont="1"/>
    <xf numFmtId="0" fontId="50" fillId="0" borderId="34" xfId="0" quotePrefix="1" applyFont="1" applyBorder="1" applyAlignment="1">
      <alignment wrapText="1"/>
    </xf>
    <xf numFmtId="0" fontId="52" fillId="0" borderId="0" xfId="0" applyFont="1"/>
    <xf numFmtId="0" fontId="51" fillId="0" borderId="22" xfId="0" applyFont="1" applyBorder="1"/>
    <xf numFmtId="0" fontId="49" fillId="0" borderId="22" xfId="0" applyFont="1" applyBorder="1"/>
    <xf numFmtId="0" fontId="1" fillId="2" borderId="2" xfId="0" applyFont="1" applyFill="1" applyBorder="1" applyAlignment="1">
      <alignment horizontal="left" vertical="center" wrapText="1"/>
    </xf>
    <xf numFmtId="0" fontId="14" fillId="0" borderId="0" xfId="0" applyFont="1"/>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11" fillId="0" borderId="0" xfId="0" applyFont="1" applyAlignment="1">
      <alignment horizontal="left" vertical="top"/>
    </xf>
    <xf numFmtId="0" fontId="1" fillId="12" borderId="2" xfId="0" applyFont="1" applyFill="1" applyBorder="1" applyAlignment="1">
      <alignment vertical="center"/>
    </xf>
    <xf numFmtId="0" fontId="1" fillId="0" borderId="0" xfId="0" applyFont="1" applyAlignment="1">
      <alignment horizontal="left" vertical="center"/>
    </xf>
    <xf numFmtId="0" fontId="15" fillId="0" borderId="13" xfId="0" applyFont="1" applyBorder="1" applyAlignment="1">
      <alignment vertical="center" wrapText="1"/>
    </xf>
    <xf numFmtId="0" fontId="2" fillId="0" borderId="35" xfId="0" applyFont="1" applyBorder="1" applyAlignment="1">
      <alignment wrapText="1"/>
    </xf>
    <xf numFmtId="0" fontId="2" fillId="0" borderId="36" xfId="0" applyFont="1" applyBorder="1" applyAlignment="1">
      <alignment wrapText="1"/>
    </xf>
    <xf numFmtId="0" fontId="2" fillId="0" borderId="6" xfId="0" applyFont="1" applyBorder="1" applyAlignment="1">
      <alignment horizontal="center" wrapText="1"/>
    </xf>
    <xf numFmtId="0" fontId="2" fillId="0" borderId="8" xfId="0" applyFont="1" applyBorder="1" applyAlignment="1">
      <alignment horizontal="center" wrapText="1"/>
    </xf>
    <xf numFmtId="0" fontId="2" fillId="0" borderId="10" xfId="0" applyFont="1" applyBorder="1" applyAlignment="1">
      <alignment horizontal="center" wrapText="1"/>
    </xf>
    <xf numFmtId="0" fontId="15" fillId="0" borderId="0" xfId="0" applyFont="1"/>
    <xf numFmtId="0" fontId="15" fillId="0" borderId="2" xfId="0" applyFont="1" applyBorder="1" applyAlignment="1">
      <alignment horizontal="center" vertical="center"/>
    </xf>
    <xf numFmtId="0" fontId="15" fillId="0" borderId="6" xfId="0" applyFont="1" applyBorder="1" applyAlignment="1">
      <alignment horizontal="center" vertical="center"/>
    </xf>
    <xf numFmtId="0" fontId="15" fillId="0" borderId="8" xfId="0" applyFont="1" applyBorder="1"/>
    <xf numFmtId="0" fontId="8" fillId="0" borderId="10" xfId="0" applyFont="1" applyBorder="1"/>
    <xf numFmtId="0" fontId="15" fillId="0" borderId="37" xfId="0" applyFont="1" applyBorder="1"/>
    <xf numFmtId="0" fontId="15" fillId="0" borderId="28" xfId="0" applyFont="1" applyBorder="1" applyAlignment="1">
      <alignment horizontal="center" vertical="center" wrapText="1"/>
    </xf>
    <xf numFmtId="0" fontId="15" fillId="0" borderId="16" xfId="0" applyFont="1" applyBorder="1" applyAlignment="1">
      <alignment vertical="center" wrapText="1"/>
    </xf>
    <xf numFmtId="0" fontId="13" fillId="0" borderId="3" xfId="0" applyFont="1" applyBorder="1"/>
    <xf numFmtId="0" fontId="13" fillId="0" borderId="7" xfId="0" applyFont="1" applyBorder="1" applyAlignment="1">
      <alignment horizontal="center" vertical="center"/>
    </xf>
    <xf numFmtId="0" fontId="13" fillId="0" borderId="14" xfId="0" applyFont="1" applyBorder="1" applyAlignment="1">
      <alignment horizontal="center" vertical="center"/>
    </xf>
    <xf numFmtId="0" fontId="13" fillId="0" borderId="33" xfId="0" quotePrefix="1" applyFont="1" applyBorder="1"/>
    <xf numFmtId="0" fontId="13" fillId="0" borderId="12" xfId="0" applyFont="1" applyBorder="1"/>
    <xf numFmtId="0" fontId="13" fillId="0" borderId="11" xfId="0" applyFont="1" applyBorder="1"/>
    <xf numFmtId="0" fontId="2" fillId="0" borderId="2" xfId="0" applyFont="1" applyBorder="1"/>
    <xf numFmtId="0" fontId="8" fillId="0" borderId="2" xfId="0" applyFont="1" applyBorder="1" applyAlignment="1">
      <alignment wrapText="1"/>
    </xf>
    <xf numFmtId="0" fontId="0" fillId="0" borderId="2" xfId="0" applyBorder="1" applyAlignment="1">
      <alignment horizontal="left" wrapText="1"/>
    </xf>
    <xf numFmtId="0" fontId="8" fillId="0" borderId="10" xfId="0" applyFont="1" applyBorder="1" applyAlignment="1">
      <alignment vertical="center" wrapText="1"/>
    </xf>
    <xf numFmtId="0" fontId="2" fillId="0" borderId="2" xfId="0" applyFont="1" applyBorder="1" applyAlignment="1">
      <alignment horizontal="center"/>
    </xf>
    <xf numFmtId="0" fontId="15" fillId="0" borderId="13" xfId="0" applyFont="1" applyBorder="1" applyAlignment="1">
      <alignment horizontal="center" vertical="center" wrapText="1"/>
    </xf>
    <xf numFmtId="0" fontId="8" fillId="11" borderId="10" xfId="0" applyFont="1" applyFill="1" applyBorder="1" applyAlignment="1">
      <alignment horizontal="center"/>
    </xf>
    <xf numFmtId="9" fontId="8" fillId="11" borderId="10" xfId="0" applyNumberFormat="1" applyFont="1" applyFill="1" applyBorder="1" applyAlignment="1">
      <alignment horizontal="center"/>
    </xf>
    <xf numFmtId="0" fontId="2" fillId="0" borderId="4" xfId="0" applyFont="1" applyBorder="1" applyAlignment="1">
      <alignment horizontal="center"/>
    </xf>
    <xf numFmtId="0" fontId="1" fillId="0" borderId="11" xfId="0" applyFont="1" applyBorder="1" applyAlignment="1">
      <alignment horizontal="center" vertical="center" wrapText="1"/>
    </xf>
    <xf numFmtId="0" fontId="48" fillId="0" borderId="2" xfId="0" applyFont="1" applyBorder="1" applyAlignment="1">
      <alignment vertical="center" wrapText="1"/>
    </xf>
    <xf numFmtId="2" fontId="27" fillId="0" borderId="31" xfId="0" applyNumberFormat="1" applyFont="1" applyBorder="1" applyAlignment="1">
      <alignment horizontal="center" vertical="center"/>
    </xf>
    <xf numFmtId="0" fontId="10" fillId="2" borderId="2" xfId="0" applyFont="1" applyFill="1" applyBorder="1" applyAlignment="1">
      <alignment horizontal="left" vertical="center" wrapText="1"/>
    </xf>
    <xf numFmtId="167" fontId="2" fillId="2" borderId="2" xfId="0" applyNumberFormat="1" applyFont="1" applyFill="1" applyBorder="1" applyAlignment="1">
      <alignment horizontal="center"/>
    </xf>
    <xf numFmtId="169" fontId="27" fillId="7" borderId="2" xfId="0" applyNumberFormat="1" applyFont="1" applyFill="1" applyBorder="1" applyAlignment="1">
      <alignment horizontal="center" vertical="center"/>
    </xf>
    <xf numFmtId="169" fontId="27" fillId="0" borderId="2" xfId="0" applyNumberFormat="1" applyFont="1" applyBorder="1" applyAlignment="1">
      <alignment horizontal="center" vertical="center"/>
    </xf>
    <xf numFmtId="167" fontId="2" fillId="7" borderId="2" xfId="0" applyNumberFormat="1" applyFont="1" applyFill="1" applyBorder="1" applyAlignment="1">
      <alignment horizontal="center"/>
    </xf>
    <xf numFmtId="167" fontId="2" fillId="0" borderId="2" xfId="0" applyNumberFormat="1" applyFont="1" applyBorder="1" applyAlignment="1">
      <alignment horizontal="center"/>
    </xf>
    <xf numFmtId="2" fontId="1" fillId="0" borderId="8" xfId="0" applyNumberFormat="1" applyFont="1" applyBorder="1" applyAlignment="1">
      <alignment horizontal="center" vertical="center"/>
    </xf>
    <xf numFmtId="0" fontId="5" fillId="0" borderId="19" xfId="0" applyFont="1" applyBorder="1" applyAlignment="1">
      <alignment vertical="center"/>
    </xf>
    <xf numFmtId="0" fontId="5" fillId="0" borderId="26" xfId="0" applyFont="1" applyBorder="1" applyAlignment="1">
      <alignment vertical="center"/>
    </xf>
    <xf numFmtId="0" fontId="14" fillId="0" borderId="5" xfId="0" applyFont="1" applyBorder="1" applyAlignment="1">
      <alignment vertical="center"/>
    </xf>
    <xf numFmtId="0" fontId="14" fillId="0" borderId="25" xfId="0" applyFont="1" applyBorder="1" applyAlignment="1">
      <alignment vertical="center"/>
    </xf>
    <xf numFmtId="167" fontId="14" fillId="0" borderId="10" xfId="0" applyNumberFormat="1" applyFont="1" applyBorder="1" applyAlignment="1">
      <alignment horizontal="center" vertical="center"/>
    </xf>
    <xf numFmtId="164" fontId="5" fillId="0" borderId="2" xfId="0" applyNumberFormat="1" applyFont="1" applyBorder="1" applyAlignment="1">
      <alignment horizontal="center" vertical="center"/>
    </xf>
    <xf numFmtId="2" fontId="14" fillId="0" borderId="6" xfId="0" applyNumberFormat="1" applyFont="1" applyBorder="1" applyAlignment="1">
      <alignment horizontal="center" vertical="center"/>
    </xf>
    <xf numFmtId="0" fontId="56" fillId="0" borderId="0" xfId="0" applyFont="1" applyAlignment="1">
      <alignment vertical="center"/>
    </xf>
    <xf numFmtId="0" fontId="58" fillId="0" borderId="0" xfId="0" applyFont="1" applyAlignment="1">
      <alignment horizontal="center" vertical="center"/>
    </xf>
    <xf numFmtId="0" fontId="57" fillId="0" borderId="0" xfId="0" applyFont="1" applyAlignment="1">
      <alignment horizontal="left" vertical="center"/>
    </xf>
    <xf numFmtId="0" fontId="21" fillId="0" borderId="0" xfId="0" applyFont="1" applyAlignment="1">
      <alignment horizontal="left" vertical="center" wrapText="1"/>
    </xf>
    <xf numFmtId="0" fontId="25" fillId="0" borderId="0" xfId="0" applyFont="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horizontal="center" vertical="center"/>
    </xf>
    <xf numFmtId="0" fontId="0" fillId="0" borderId="8" xfId="0" applyBorder="1" applyAlignment="1">
      <alignment horizontal="left" vertical="center" wrapText="1"/>
    </xf>
    <xf numFmtId="2" fontId="10" fillId="0" borderId="16" xfId="0" applyNumberFormat="1" applyFont="1" applyBorder="1" applyAlignment="1">
      <alignment horizontal="left" vertical="center"/>
    </xf>
    <xf numFmtId="2" fontId="8" fillId="2" borderId="18" xfId="0" applyNumberFormat="1" applyFont="1" applyFill="1" applyBorder="1" applyAlignment="1">
      <alignment horizontal="center" vertical="center" wrapText="1"/>
    </xf>
    <xf numFmtId="0" fontId="12" fillId="0" borderId="8" xfId="0" applyFont="1" applyBorder="1" applyAlignment="1">
      <alignment horizontal="center" vertical="center" wrapText="1"/>
    </xf>
    <xf numFmtId="0" fontId="11" fillId="0" borderId="0" xfId="0" applyFont="1"/>
    <xf numFmtId="0" fontId="2" fillId="0" borderId="0" xfId="0" applyFont="1"/>
    <xf numFmtId="0" fontId="37" fillId="0" borderId="0" xfId="0" applyFont="1"/>
    <xf numFmtId="0" fontId="0" fillId="2" borderId="2" xfId="0" applyFill="1" applyBorder="1" applyAlignment="1">
      <alignment horizontal="left" vertical="center" wrapText="1"/>
    </xf>
    <xf numFmtId="1" fontId="10" fillId="2" borderId="2" xfId="0" applyNumberFormat="1" applyFont="1" applyFill="1" applyBorder="1" applyAlignment="1">
      <alignment vertical="center"/>
    </xf>
    <xf numFmtId="0" fontId="27" fillId="4" borderId="0" xfId="0" applyFont="1" applyFill="1" applyAlignment="1">
      <alignment horizontal="center" vertical="center"/>
    </xf>
    <xf numFmtId="169" fontId="26" fillId="0" borderId="2" xfId="0" applyNumberFormat="1" applyFont="1" applyBorder="1" applyAlignment="1">
      <alignment horizontal="center" vertical="center"/>
    </xf>
    <xf numFmtId="0" fontId="21" fillId="0" borderId="2" xfId="0" applyFont="1" applyBorder="1" applyAlignment="1">
      <alignment vertical="top" wrapText="1"/>
    </xf>
    <xf numFmtId="0" fontId="2" fillId="0" borderId="14" xfId="0" applyFont="1" applyBorder="1" applyAlignment="1">
      <alignment horizontal="center" vertical="center" wrapText="1"/>
    </xf>
    <xf numFmtId="2" fontId="2" fillId="0" borderId="14" xfId="0" applyNumberFormat="1" applyFont="1" applyBorder="1" applyAlignment="1">
      <alignment horizontal="center"/>
    </xf>
    <xf numFmtId="0" fontId="2" fillId="0" borderId="14" xfId="0" applyFont="1" applyBorder="1" applyAlignment="1">
      <alignment horizontal="center" vertical="center"/>
    </xf>
    <xf numFmtId="11" fontId="5" fillId="0" borderId="0" xfId="0" applyNumberFormat="1" applyFont="1" applyAlignment="1">
      <alignment vertical="center"/>
    </xf>
    <xf numFmtId="0" fontId="21" fillId="0" borderId="0" xfId="0" applyFont="1" applyAlignment="1">
      <alignment horizontal="left" vertical="top" wrapText="1"/>
    </xf>
    <xf numFmtId="0" fontId="21" fillId="0" borderId="12" xfId="0" applyFont="1" applyBorder="1" applyAlignment="1">
      <alignment vertical="center" wrapText="1"/>
    </xf>
    <xf numFmtId="0" fontId="21" fillId="0" borderId="11" xfId="0" applyFont="1" applyBorder="1" applyAlignment="1">
      <alignment vertical="center" wrapText="1"/>
    </xf>
    <xf numFmtId="0" fontId="31" fillId="0" borderId="0" xfId="0" applyFont="1" applyAlignment="1">
      <alignment wrapText="1"/>
    </xf>
    <xf numFmtId="0" fontId="64" fillId="0" borderId="0" xfId="0" applyFont="1" applyAlignment="1">
      <alignment horizontal="left" vertical="center"/>
    </xf>
    <xf numFmtId="167" fontId="2" fillId="7" borderId="2" xfId="0" applyNumberFormat="1" applyFont="1" applyFill="1" applyBorder="1" applyAlignment="1">
      <alignment horizontal="center" vertical="center"/>
    </xf>
    <xf numFmtId="165" fontId="0" fillId="2" borderId="2" xfId="0" applyNumberFormat="1" applyFill="1" applyBorder="1" applyAlignment="1">
      <alignment wrapText="1"/>
    </xf>
    <xf numFmtId="167" fontId="2" fillId="2" borderId="2" xfId="0" applyNumberFormat="1" applyFont="1" applyFill="1" applyBorder="1" applyAlignment="1">
      <alignment horizontal="center" vertical="center"/>
    </xf>
    <xf numFmtId="165" fontId="0" fillId="2" borderId="2" xfId="0" applyNumberFormat="1" applyFill="1" applyBorder="1" applyAlignment="1">
      <alignment vertical="center"/>
    </xf>
    <xf numFmtId="1" fontId="0" fillId="2" borderId="2" xfId="0" applyNumberFormat="1" applyFill="1" applyBorder="1" applyAlignment="1">
      <alignment horizontal="center" vertical="center"/>
    </xf>
    <xf numFmtId="0" fontId="5" fillId="0" borderId="2" xfId="0" applyFont="1" applyBorder="1" applyAlignment="1">
      <alignment horizontal="center" vertical="center"/>
    </xf>
    <xf numFmtId="0" fontId="5" fillId="0" borderId="7" xfId="0" applyFont="1" applyBorder="1" applyAlignment="1">
      <alignment vertical="center"/>
    </xf>
    <xf numFmtId="171" fontId="14" fillId="0" borderId="10" xfId="0" applyNumberFormat="1" applyFont="1" applyBorder="1" applyAlignment="1">
      <alignment horizontal="center" vertical="center"/>
    </xf>
    <xf numFmtId="173" fontId="14" fillId="0" borderId="10" xfId="0" applyNumberFormat="1" applyFont="1" applyBorder="1" applyAlignment="1">
      <alignment horizontal="center" vertical="center"/>
    </xf>
    <xf numFmtId="174" fontId="14" fillId="0" borderId="10" xfId="0" applyNumberFormat="1" applyFont="1" applyBorder="1" applyAlignment="1">
      <alignment horizontal="center" vertical="center"/>
    </xf>
    <xf numFmtId="175" fontId="14" fillId="0" borderId="2" xfId="0" applyNumberFormat="1" applyFont="1" applyBorder="1" applyAlignment="1">
      <alignment horizontal="center" vertical="center"/>
    </xf>
    <xf numFmtId="0" fontId="14" fillId="0" borderId="0" xfId="0" applyFont="1" applyAlignment="1">
      <alignment horizontal="center" vertical="center"/>
    </xf>
    <xf numFmtId="3" fontId="14" fillId="0" borderId="10" xfId="0" applyNumberFormat="1" applyFont="1" applyBorder="1" applyAlignment="1">
      <alignment horizontal="center" vertical="center"/>
    </xf>
    <xf numFmtId="172" fontId="14" fillId="0" borderId="10" xfId="0" applyNumberFormat="1" applyFont="1" applyBorder="1" applyAlignment="1">
      <alignment horizontal="center" vertical="center"/>
    </xf>
    <xf numFmtId="170" fontId="14" fillId="0" borderId="2" xfId="0" applyNumberFormat="1" applyFont="1" applyBorder="1" applyAlignment="1">
      <alignment horizontal="center" vertical="center"/>
    </xf>
    <xf numFmtId="11" fontId="14" fillId="0" borderId="0" xfId="0" applyNumberFormat="1" applyFont="1" applyAlignment="1">
      <alignment horizontal="center" vertical="center"/>
    </xf>
    <xf numFmtId="4" fontId="14" fillId="0" borderId="2" xfId="0" applyNumberFormat="1" applyFont="1" applyBorder="1" applyAlignment="1">
      <alignment horizontal="center" vertical="center"/>
    </xf>
    <xf numFmtId="11" fontId="5" fillId="0" borderId="0" xfId="0" applyNumberFormat="1" applyFont="1" applyAlignment="1">
      <alignment horizontal="center" vertical="center"/>
    </xf>
    <xf numFmtId="170" fontId="14" fillId="0" borderId="10" xfId="0" applyNumberFormat="1" applyFont="1" applyBorder="1" applyAlignment="1">
      <alignment horizontal="center" vertical="center"/>
    </xf>
    <xf numFmtId="170" fontId="0" fillId="0" borderId="2" xfId="0" applyNumberFormat="1" applyBorder="1" applyAlignment="1">
      <alignment horizontal="center" vertical="center"/>
    </xf>
    <xf numFmtId="4" fontId="14" fillId="0" borderId="10"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14" fillId="0" borderId="2" xfId="0" applyFont="1" applyBorder="1" applyAlignment="1">
      <alignment horizontal="center" vertical="center"/>
    </xf>
    <xf numFmtId="164" fontId="14" fillId="0" borderId="2" xfId="0" applyNumberFormat="1" applyFont="1" applyBorder="1" applyAlignment="1">
      <alignment horizontal="center" vertical="center"/>
    </xf>
    <xf numFmtId="171" fontId="14" fillId="0" borderId="2" xfId="0" applyNumberFormat="1" applyFont="1" applyBorder="1" applyAlignment="1">
      <alignment horizontal="center" vertical="center"/>
    </xf>
    <xf numFmtId="173" fontId="14" fillId="0" borderId="2" xfId="0" applyNumberFormat="1" applyFont="1" applyBorder="1" applyAlignment="1">
      <alignment horizontal="center" vertical="center"/>
    </xf>
    <xf numFmtId="11" fontId="14" fillId="0" borderId="2" xfId="0" applyNumberFormat="1" applyFont="1" applyBorder="1" applyAlignment="1">
      <alignment horizontal="center" vertical="center"/>
    </xf>
    <xf numFmtId="171" fontId="0" fillId="0" borderId="2" xfId="0" applyNumberFormat="1" applyBorder="1" applyAlignment="1">
      <alignment horizontal="center" vertical="center"/>
    </xf>
    <xf numFmtId="165" fontId="14" fillId="0" borderId="2" xfId="0" applyNumberFormat="1" applyFont="1" applyBorder="1" applyAlignment="1">
      <alignment horizontal="center" vertical="center"/>
    </xf>
    <xf numFmtId="3" fontId="0" fillId="0" borderId="2" xfId="0" applyNumberFormat="1" applyBorder="1" applyAlignment="1">
      <alignment horizontal="center" vertical="center"/>
    </xf>
    <xf numFmtId="180" fontId="14" fillId="0" borderId="0" xfId="0" applyNumberFormat="1" applyFont="1" applyAlignment="1">
      <alignment horizontal="center" vertical="center"/>
    </xf>
    <xf numFmtId="0" fontId="5" fillId="0" borderId="5" xfId="0" applyFont="1" applyBorder="1" applyAlignment="1">
      <alignment horizontal="center" vertical="center"/>
    </xf>
    <xf numFmtId="11" fontId="14" fillId="0" borderId="10" xfId="0" applyNumberFormat="1" applyFont="1" applyBorder="1" applyAlignment="1">
      <alignment horizontal="center" vertical="center"/>
    </xf>
    <xf numFmtId="175" fontId="14" fillId="0" borderId="10" xfId="0" applyNumberFormat="1" applyFont="1" applyBorder="1" applyAlignment="1">
      <alignment horizontal="center" vertical="center"/>
    </xf>
    <xf numFmtId="11" fontId="14" fillId="0" borderId="9" xfId="0" applyNumberFormat="1" applyFont="1" applyBorder="1" applyAlignment="1">
      <alignment horizontal="center" vertical="center"/>
    </xf>
    <xf numFmtId="165" fontId="5" fillId="0" borderId="2" xfId="0" applyNumberFormat="1" applyFont="1" applyBorder="1" applyAlignment="1">
      <alignment horizontal="center" vertical="center"/>
    </xf>
    <xf numFmtId="178" fontId="14" fillId="0" borderId="10" xfId="0" applyNumberFormat="1" applyFont="1" applyBorder="1" applyAlignment="1">
      <alignment horizontal="center" vertical="center"/>
    </xf>
    <xf numFmtId="175" fontId="14" fillId="0" borderId="9" xfId="0" applyNumberFormat="1" applyFont="1" applyBorder="1" applyAlignment="1">
      <alignment horizontal="center" vertical="center"/>
    </xf>
    <xf numFmtId="172" fontId="0" fillId="0" borderId="2" xfId="0" applyNumberFormat="1" applyBorder="1" applyAlignment="1">
      <alignment horizontal="center" vertical="center"/>
    </xf>
    <xf numFmtId="176" fontId="14" fillId="0" borderId="10" xfId="0" applyNumberFormat="1" applyFont="1" applyBorder="1" applyAlignment="1">
      <alignment horizontal="center" vertical="center"/>
    </xf>
    <xf numFmtId="170" fontId="14" fillId="0" borderId="9" xfId="0" applyNumberFormat="1" applyFont="1" applyBorder="1" applyAlignment="1">
      <alignment horizontal="center" vertical="center"/>
    </xf>
    <xf numFmtId="171" fontId="14" fillId="0" borderId="9" xfId="0" applyNumberFormat="1" applyFont="1" applyBorder="1" applyAlignment="1">
      <alignment horizontal="center" vertical="center"/>
    </xf>
    <xf numFmtId="3" fontId="5" fillId="0" borderId="2" xfId="0" applyNumberFormat="1" applyFont="1" applyBorder="1" applyAlignment="1">
      <alignment horizontal="center" vertical="center"/>
    </xf>
    <xf numFmtId="177" fontId="14" fillId="0" borderId="10" xfId="0" applyNumberFormat="1" applyFont="1" applyBorder="1" applyAlignment="1">
      <alignment horizontal="center" vertical="center"/>
    </xf>
    <xf numFmtId="174" fontId="0" fillId="0" borderId="2" xfId="0" applyNumberFormat="1" applyBorder="1" applyAlignment="1">
      <alignment horizontal="center" vertical="center"/>
    </xf>
    <xf numFmtId="173" fontId="0" fillId="0" borderId="2" xfId="0" applyNumberFormat="1" applyBorder="1" applyAlignment="1">
      <alignment horizontal="center" vertical="center"/>
    </xf>
    <xf numFmtId="11" fontId="0" fillId="0" borderId="2" xfId="0" applyNumberFormat="1" applyBorder="1" applyAlignment="1">
      <alignment horizontal="center" vertical="center"/>
    </xf>
    <xf numFmtId="174" fontId="14" fillId="0" borderId="9" xfId="0" applyNumberFormat="1" applyFont="1" applyBorder="1" applyAlignment="1">
      <alignment horizontal="center" vertical="center"/>
    </xf>
    <xf numFmtId="172" fontId="14" fillId="0" borderId="9" xfId="0" applyNumberFormat="1" applyFont="1" applyBorder="1" applyAlignment="1">
      <alignment horizontal="center" vertical="center"/>
    </xf>
    <xf numFmtId="177" fontId="14" fillId="0" borderId="9" xfId="0" applyNumberFormat="1" applyFont="1" applyBorder="1" applyAlignment="1">
      <alignment horizontal="center" vertical="center"/>
    </xf>
    <xf numFmtId="182" fontId="5" fillId="0" borderId="2" xfId="0" applyNumberFormat="1" applyFont="1" applyBorder="1" applyAlignment="1">
      <alignment horizontal="center" vertical="center"/>
    </xf>
    <xf numFmtId="173" fontId="14" fillId="0" borderId="9" xfId="0" applyNumberFormat="1" applyFont="1" applyBorder="1" applyAlignment="1">
      <alignment horizontal="center" vertical="center"/>
    </xf>
    <xf numFmtId="167" fontId="5" fillId="0" borderId="2" xfId="0" applyNumberFormat="1" applyFont="1" applyBorder="1" applyAlignment="1">
      <alignment horizontal="center" vertical="center"/>
    </xf>
    <xf numFmtId="3" fontId="14" fillId="0" borderId="1" xfId="0" applyNumberFormat="1" applyFont="1" applyBorder="1" applyAlignment="1">
      <alignment horizontal="center" vertical="center"/>
    </xf>
    <xf numFmtId="171" fontId="14" fillId="0" borderId="1" xfId="0" applyNumberFormat="1" applyFont="1" applyBorder="1" applyAlignment="1">
      <alignment horizontal="center" vertical="center"/>
    </xf>
    <xf numFmtId="4" fontId="14" fillId="0" borderId="1" xfId="0" applyNumberFormat="1" applyFont="1" applyBorder="1" applyAlignment="1">
      <alignment horizontal="center" vertical="center"/>
    </xf>
    <xf numFmtId="170" fontId="14" fillId="0" borderId="1" xfId="0" applyNumberFormat="1" applyFont="1" applyBorder="1" applyAlignment="1">
      <alignment horizontal="center" vertical="center"/>
    </xf>
    <xf numFmtId="175" fontId="14" fillId="0" borderId="1" xfId="0" applyNumberFormat="1" applyFont="1" applyBorder="1" applyAlignment="1">
      <alignment horizontal="center" vertical="center"/>
    </xf>
    <xf numFmtId="3" fontId="14" fillId="0" borderId="0" xfId="0" applyNumberFormat="1" applyFont="1" applyAlignment="1">
      <alignment horizontal="center" vertical="center"/>
    </xf>
    <xf numFmtId="1" fontId="5" fillId="0" borderId="2" xfId="0" applyNumberFormat="1" applyFont="1" applyBorder="1" applyAlignment="1">
      <alignment horizontal="center" vertical="center"/>
    </xf>
    <xf numFmtId="181" fontId="14" fillId="0" borderId="2" xfId="0" applyNumberFormat="1" applyFont="1" applyBorder="1" applyAlignment="1">
      <alignment horizontal="center" vertical="center"/>
    </xf>
    <xf numFmtId="1" fontId="14" fillId="0" borderId="10" xfId="0" applyNumberFormat="1" applyFont="1" applyBorder="1" applyAlignment="1">
      <alignment horizontal="center" vertical="center"/>
    </xf>
    <xf numFmtId="1" fontId="5" fillId="0" borderId="10" xfId="0" applyNumberFormat="1" applyFont="1" applyBorder="1" applyAlignment="1">
      <alignment horizontal="center" vertical="center"/>
    </xf>
    <xf numFmtId="1" fontId="2" fillId="0" borderId="2" xfId="0" applyNumberFormat="1" applyFont="1" applyBorder="1" applyAlignment="1">
      <alignment horizontal="center"/>
    </xf>
    <xf numFmtId="0" fontId="37" fillId="0" borderId="0" xfId="0" applyFont="1" applyAlignment="1">
      <alignment vertical="center"/>
    </xf>
    <xf numFmtId="0" fontId="41" fillId="0" borderId="4" xfId="0" applyFont="1" applyBorder="1" applyAlignment="1">
      <alignment vertical="center"/>
    </xf>
    <xf numFmtId="0" fontId="5" fillId="0" borderId="18" xfId="0" applyFont="1" applyBorder="1" applyAlignment="1">
      <alignment vertical="center"/>
    </xf>
    <xf numFmtId="3" fontId="14" fillId="0" borderId="8" xfId="0" applyNumberFormat="1" applyFont="1" applyBorder="1" applyAlignment="1">
      <alignment horizontal="center" vertical="center"/>
    </xf>
    <xf numFmtId="0" fontId="5" fillId="0" borderId="9" xfId="0" applyFont="1" applyBorder="1" applyAlignment="1">
      <alignment vertical="center"/>
    </xf>
    <xf numFmtId="4" fontId="14" fillId="0" borderId="8" xfId="0" applyNumberFormat="1" applyFont="1" applyBorder="1" applyAlignment="1">
      <alignment horizontal="center" vertical="center"/>
    </xf>
    <xf numFmtId="0" fontId="14" fillId="0" borderId="0" xfId="0" applyFont="1" applyAlignment="1">
      <alignment vertical="center"/>
    </xf>
    <xf numFmtId="0" fontId="41" fillId="0" borderId="2" xfId="0" applyFont="1" applyBorder="1" applyAlignment="1">
      <alignment vertical="center"/>
    </xf>
    <xf numFmtId="172" fontId="14" fillId="0" borderId="2" xfId="0" applyNumberFormat="1" applyFont="1" applyBorder="1" applyAlignment="1">
      <alignment horizontal="center" vertical="center"/>
    </xf>
    <xf numFmtId="177" fontId="14" fillId="0" borderId="2" xfId="0" applyNumberFormat="1" applyFont="1" applyBorder="1" applyAlignment="1">
      <alignment horizontal="center" vertical="center"/>
    </xf>
    <xf numFmtId="0" fontId="5" fillId="0" borderId="3" xfId="0" applyFont="1" applyBorder="1" applyAlignment="1">
      <alignment vertical="center" wrapText="1"/>
    </xf>
    <xf numFmtId="0" fontId="14" fillId="0" borderId="5" xfId="0" applyFont="1" applyBorder="1" applyAlignment="1">
      <alignment vertical="center" wrapText="1"/>
    </xf>
    <xf numFmtId="0" fontId="14" fillId="0" borderId="8" xfId="0" applyFont="1" applyBorder="1" applyAlignment="1">
      <alignment horizontal="center" vertical="center"/>
    </xf>
    <xf numFmtId="2" fontId="14" fillId="0" borderId="2" xfId="0" applyNumberFormat="1" applyFont="1" applyBorder="1" applyAlignment="1">
      <alignment horizontal="center" vertical="center"/>
    </xf>
    <xf numFmtId="0" fontId="0" fillId="0" borderId="12"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12" xfId="0" applyBorder="1" applyAlignment="1">
      <alignment vertical="center" wrapText="1"/>
    </xf>
    <xf numFmtId="0" fontId="0" fillId="0" borderId="6" xfId="0" applyBorder="1" applyAlignment="1">
      <alignment vertical="center"/>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2" fillId="0" borderId="2" xfId="0" applyFont="1" applyBorder="1" applyAlignment="1">
      <alignment horizontal="left"/>
    </xf>
    <xf numFmtId="0" fontId="2" fillId="0" borderId="0" xfId="0" applyFont="1" applyAlignment="1">
      <alignment horizontal="center"/>
    </xf>
    <xf numFmtId="0" fontId="2" fillId="0" borderId="0" xfId="0" applyFont="1" applyAlignment="1">
      <alignment horizontal="left"/>
    </xf>
    <xf numFmtId="0" fontId="13" fillId="0" borderId="0" xfId="0" applyFont="1"/>
    <xf numFmtId="0" fontId="14" fillId="0" borderId="2" xfId="0" applyFont="1" applyBorder="1" applyAlignment="1">
      <alignment horizontal="left"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2" fontId="2" fillId="0" borderId="2" xfId="0" applyNumberFormat="1" applyFont="1" applyBorder="1" applyAlignment="1">
      <alignment horizontal="center"/>
    </xf>
    <xf numFmtId="2" fontId="2" fillId="0" borderId="4" xfId="0" applyNumberFormat="1" applyFont="1" applyBorder="1" applyAlignment="1">
      <alignment horizontal="center"/>
    </xf>
    <xf numFmtId="0" fontId="2" fillId="0" borderId="2" xfId="0" applyFont="1" applyBorder="1" applyAlignment="1">
      <alignment horizontal="left" vertical="top"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63" fillId="0" borderId="0" xfId="0" applyFont="1" applyAlignment="1">
      <alignment horizontal="left"/>
    </xf>
    <xf numFmtId="0" fontId="63" fillId="0" borderId="0" xfId="0" applyFont="1" applyAlignment="1">
      <alignment horizontal="center" vertical="center"/>
    </xf>
    <xf numFmtId="0" fontId="2" fillId="0" borderId="14" xfId="0" applyFont="1" applyBorder="1" applyAlignment="1">
      <alignment vertical="top"/>
    </xf>
    <xf numFmtId="9" fontId="2" fillId="0" borderId="2" xfId="0" applyNumberFormat="1" applyFont="1" applyBorder="1" applyAlignment="1">
      <alignment vertical="center"/>
    </xf>
    <xf numFmtId="0" fontId="61" fillId="0" borderId="14" xfId="0" applyFont="1" applyBorder="1" applyAlignment="1">
      <alignment vertical="top"/>
    </xf>
    <xf numFmtId="9" fontId="2" fillId="0" borderId="2" xfId="0" applyNumberFormat="1" applyFont="1" applyBorder="1"/>
    <xf numFmtId="179" fontId="2" fillId="0" borderId="2" xfId="0" applyNumberFormat="1" applyFont="1" applyBorder="1"/>
    <xf numFmtId="179" fontId="2" fillId="0" borderId="0" xfId="0" applyNumberFormat="1" applyFont="1"/>
    <xf numFmtId="0" fontId="2" fillId="0" borderId="0" xfId="0" applyFont="1" applyAlignment="1">
      <alignment horizontal="left" vertical="top"/>
    </xf>
    <xf numFmtId="0" fontId="2" fillId="0" borderId="35" xfId="0" applyFont="1" applyBorder="1"/>
    <xf numFmtId="9" fontId="2" fillId="0" borderId="2" xfId="2" applyFont="1" applyFill="1" applyBorder="1" applyAlignment="1">
      <alignment horizontal="center" vertical="center" wrapText="1"/>
    </xf>
    <xf numFmtId="166" fontId="2" fillId="0" borderId="2" xfId="0" applyNumberFormat="1" applyFont="1" applyBorder="1" applyAlignment="1">
      <alignment horizontal="center"/>
    </xf>
    <xf numFmtId="2" fontId="2" fillId="0" borderId="2" xfId="0" applyNumberFormat="1" applyFont="1" applyBorder="1" applyAlignment="1">
      <alignment horizontal="center" vertical="center"/>
    </xf>
    <xf numFmtId="2" fontId="1" fillId="3" borderId="5" xfId="0" applyNumberFormat="1" applyFont="1" applyFill="1" applyBorder="1" applyAlignment="1">
      <alignment horizontal="center" vertical="center" wrapText="1"/>
    </xf>
    <xf numFmtId="2" fontId="0" fillId="0" borderId="2" xfId="0" applyNumberFormat="1" applyBorder="1" applyAlignment="1">
      <alignment horizontal="left" vertical="center"/>
    </xf>
    <xf numFmtId="0" fontId="45" fillId="0" borderId="0" xfId="0" applyFont="1" applyAlignment="1">
      <alignment vertical="center"/>
    </xf>
    <xf numFmtId="16" fontId="2" fillId="2" borderId="2" xfId="0" applyNumberFormat="1" applyFont="1" applyFill="1" applyBorder="1" applyAlignment="1">
      <alignment horizontal="left" vertical="center" wrapText="1"/>
    </xf>
    <xf numFmtId="0" fontId="17" fillId="0" borderId="0" xfId="0" applyFont="1"/>
    <xf numFmtId="0" fontId="2" fillId="0" borderId="0" xfId="0" applyFont="1" applyAlignment="1">
      <alignment vertical="center" wrapText="1"/>
    </xf>
    <xf numFmtId="0" fontId="2" fillId="0" borderId="0" xfId="0" quotePrefix="1" applyFont="1"/>
    <xf numFmtId="0" fontId="16" fillId="0" borderId="0" xfId="0" applyFont="1"/>
    <xf numFmtId="0" fontId="14" fillId="0" borderId="0" xfId="0" applyFont="1" applyAlignment="1">
      <alignment horizontal="left" vertical="center" wrapText="1"/>
    </xf>
    <xf numFmtId="0" fontId="10" fillId="0" borderId="0" xfId="0" applyFont="1"/>
    <xf numFmtId="0" fontId="0" fillId="0" borderId="0" xfId="0" quotePrefix="1"/>
    <xf numFmtId="17" fontId="1" fillId="2" borderId="2" xfId="0" applyNumberFormat="1" applyFont="1" applyFill="1" applyBorder="1" applyAlignment="1">
      <alignment horizontal="center" vertical="center"/>
    </xf>
    <xf numFmtId="2" fontId="10" fillId="2" borderId="2" xfId="0" applyNumberFormat="1" applyFont="1" applyFill="1" applyBorder="1" applyAlignment="1">
      <alignment vertical="center"/>
    </xf>
    <xf numFmtId="183" fontId="27" fillId="2" borderId="0" xfId="0" applyNumberFormat="1" applyFont="1" applyFill="1" applyAlignment="1">
      <alignment horizontal="center" vertical="center"/>
    </xf>
    <xf numFmtId="2" fontId="0" fillId="0" borderId="0" xfId="0" applyNumberFormat="1"/>
    <xf numFmtId="10" fontId="0" fillId="0" borderId="0" xfId="0" applyNumberFormat="1"/>
    <xf numFmtId="0" fontId="65" fillId="0" borderId="0" xfId="0" applyFont="1"/>
    <xf numFmtId="10" fontId="65" fillId="0" borderId="0" xfId="0" applyNumberFormat="1" applyFont="1"/>
    <xf numFmtId="4" fontId="8" fillId="2" borderId="8" xfId="0" quotePrefix="1" applyNumberFormat="1" applyFont="1" applyFill="1" applyBorder="1" applyAlignment="1">
      <alignment horizontal="left" vertical="center" wrapText="1"/>
    </xf>
    <xf numFmtId="4" fontId="0" fillId="0" borderId="8" xfId="0" quotePrefix="1" applyNumberFormat="1" applyBorder="1" applyAlignment="1">
      <alignment horizontal="center" vertical="center"/>
    </xf>
    <xf numFmtId="3" fontId="1" fillId="0" borderId="2" xfId="0" quotePrefix="1" applyNumberFormat="1" applyFont="1" applyBorder="1" applyAlignment="1">
      <alignment horizontal="center" vertical="center" wrapText="1"/>
    </xf>
    <xf numFmtId="2" fontId="8" fillId="2" borderId="4" xfId="0" quotePrefix="1" applyNumberFormat="1" applyFont="1" applyFill="1" applyBorder="1" applyAlignment="1">
      <alignment horizontal="center" vertical="center" wrapText="1"/>
    </xf>
    <xf numFmtId="2" fontId="8" fillId="0" borderId="4" xfId="0" quotePrefix="1" applyNumberFormat="1" applyFont="1" applyBorder="1" applyAlignment="1">
      <alignment horizontal="center" vertical="center" wrapText="1"/>
    </xf>
    <xf numFmtId="165" fontId="2" fillId="2" borderId="2" xfId="0" quotePrefix="1" applyNumberFormat="1" applyFont="1" applyFill="1" applyBorder="1"/>
    <xf numFmtId="165" fontId="0" fillId="2" borderId="2" xfId="0" quotePrefix="1" applyNumberFormat="1" applyFill="1" applyBorder="1"/>
    <xf numFmtId="165" fontId="2" fillId="2" borderId="2" xfId="0" quotePrefix="1" applyNumberFormat="1" applyFont="1" applyFill="1" applyBorder="1" applyAlignment="1">
      <alignment horizontal="center" wrapText="1"/>
    </xf>
    <xf numFmtId="10" fontId="0" fillId="2" borderId="2" xfId="2" quotePrefix="1" applyNumberFormat="1" applyFont="1" applyFill="1" applyBorder="1" applyAlignment="1">
      <alignment horizontal="center" vertical="center"/>
    </xf>
    <xf numFmtId="184" fontId="1" fillId="3" borderId="2" xfId="0" applyNumberFormat="1" applyFont="1" applyFill="1" applyBorder="1" applyAlignment="1">
      <alignment horizontal="center" vertical="center" wrapText="1"/>
    </xf>
    <xf numFmtId="2" fontId="8" fillId="2" borderId="4" xfId="0" quotePrefix="1" applyNumberFormat="1" applyFont="1" applyFill="1" applyBorder="1" applyAlignment="1">
      <alignment horizontal="left" vertical="center" wrapText="1"/>
    </xf>
    <xf numFmtId="2" fontId="0" fillId="0" borderId="2" xfId="0" quotePrefix="1" applyNumberFormat="1" applyBorder="1" applyAlignment="1">
      <alignment horizontal="left" vertical="center"/>
    </xf>
    <xf numFmtId="1" fontId="10" fillId="2" borderId="2" xfId="0" quotePrefix="1" applyNumberFormat="1" applyFont="1" applyFill="1" applyBorder="1" applyAlignment="1">
      <alignment horizontal="center" vertical="center" wrapText="1"/>
    </xf>
    <xf numFmtId="185" fontId="0" fillId="2" borderId="2" xfId="0" quotePrefix="1" applyNumberFormat="1" applyFill="1" applyBorder="1" applyAlignment="1">
      <alignment horizontal="center" vertical="center" wrapText="1"/>
    </xf>
    <xf numFmtId="1" fontId="0" fillId="2" borderId="2" xfId="0" quotePrefix="1" applyNumberFormat="1" applyFill="1" applyBorder="1" applyAlignment="1">
      <alignment horizontal="center" vertical="center" wrapText="1"/>
    </xf>
    <xf numFmtId="2" fontId="8" fillId="2" borderId="2" xfId="0" quotePrefix="1" applyNumberFormat="1" applyFont="1" applyFill="1" applyBorder="1" applyAlignment="1">
      <alignment horizontal="center" vertical="center" wrapText="1"/>
    </xf>
    <xf numFmtId="2" fontId="8" fillId="2" borderId="18" xfId="0" quotePrefix="1" applyNumberFormat="1" applyFont="1" applyFill="1" applyBorder="1" applyAlignment="1">
      <alignment horizontal="center" vertical="center" wrapText="1"/>
    </xf>
    <xf numFmtId="2" fontId="0" fillId="0" borderId="2" xfId="0" quotePrefix="1" applyNumberFormat="1" applyBorder="1" applyAlignment="1">
      <alignment horizontal="left" vertical="center" wrapText="1"/>
    </xf>
    <xf numFmtId="4" fontId="8" fillId="2" borderId="2" xfId="0" quotePrefix="1" applyNumberFormat="1" applyFont="1" applyFill="1" applyBorder="1" applyAlignment="1">
      <alignment horizontal="left" vertical="center" wrapText="1"/>
    </xf>
    <xf numFmtId="2" fontId="8" fillId="2" borderId="2" xfId="0" quotePrefix="1" applyNumberFormat="1" applyFont="1" applyFill="1" applyBorder="1" applyAlignment="1">
      <alignment horizontal="left" vertical="center" wrapText="1"/>
    </xf>
    <xf numFmtId="2" fontId="10" fillId="2" borderId="13" xfId="0" quotePrefix="1" applyNumberFormat="1" applyFont="1" applyFill="1" applyBorder="1" applyAlignment="1">
      <alignment horizontal="center" vertical="center"/>
    </xf>
    <xf numFmtId="2" fontId="10" fillId="2" borderId="2" xfId="0" quotePrefix="1" applyNumberFormat="1" applyFont="1" applyFill="1" applyBorder="1" applyAlignment="1">
      <alignment vertical="center"/>
    </xf>
    <xf numFmtId="165" fontId="0" fillId="0" borderId="0" xfId="0" applyNumberFormat="1" applyAlignment="1">
      <alignment horizontal="center" wrapText="1"/>
    </xf>
    <xf numFmtId="0" fontId="65" fillId="15" borderId="2" xfId="0" applyFont="1" applyFill="1" applyBorder="1" applyAlignment="1">
      <alignment horizontal="left"/>
    </xf>
    <xf numFmtId="0" fontId="65" fillId="16" borderId="2" xfId="0" applyFont="1" applyFill="1" applyBorder="1" applyAlignment="1">
      <alignment horizontal="left"/>
    </xf>
    <xf numFmtId="1" fontId="10" fillId="2" borderId="2" xfId="0" quotePrefix="1" applyNumberFormat="1" applyFont="1" applyFill="1" applyBorder="1" applyAlignment="1">
      <alignment vertical="center"/>
    </xf>
    <xf numFmtId="2" fontId="0" fillId="0" borderId="2" xfId="0" quotePrefix="1" applyNumberFormat="1" applyBorder="1" applyAlignment="1">
      <alignment vertical="center" wrapText="1"/>
    </xf>
    <xf numFmtId="185" fontId="2" fillId="2" borderId="2" xfId="0" quotePrefix="1" applyNumberFormat="1" applyFont="1" applyFill="1" applyBorder="1"/>
    <xf numFmtId="185" fontId="0" fillId="2" borderId="2" xfId="0" quotePrefix="1" applyNumberFormat="1" applyFill="1" applyBorder="1"/>
    <xf numFmtId="186" fontId="2" fillId="2" borderId="2" xfId="0" quotePrefix="1" applyNumberFormat="1" applyFont="1" applyFill="1" applyBorder="1" applyAlignment="1">
      <alignment horizontal="center" wrapText="1"/>
    </xf>
    <xf numFmtId="187" fontId="26" fillId="0" borderId="2" xfId="0" applyNumberFormat="1" applyFont="1" applyBorder="1" applyAlignment="1">
      <alignment horizontal="center" vertical="center"/>
    </xf>
    <xf numFmtId="185" fontId="0" fillId="0" borderId="0" xfId="0" applyNumberFormat="1" applyAlignment="1">
      <alignment horizontal="center"/>
    </xf>
    <xf numFmtId="1" fontId="0" fillId="0" borderId="0" xfId="0" applyNumberFormat="1"/>
    <xf numFmtId="0" fontId="6" fillId="13" borderId="0" xfId="0" applyFont="1" applyFill="1" applyAlignment="1">
      <alignment horizontal="center"/>
    </xf>
    <xf numFmtId="0" fontId="6" fillId="13" borderId="14" xfId="0" applyFont="1" applyFill="1" applyBorder="1" applyAlignment="1">
      <alignment horizontal="center"/>
    </xf>
    <xf numFmtId="0" fontId="6" fillId="13" borderId="7" xfId="0" applyFont="1" applyFill="1" applyBorder="1" applyAlignment="1">
      <alignment horizontal="center"/>
    </xf>
    <xf numFmtId="0" fontId="65" fillId="17" borderId="19" xfId="0" applyFont="1" applyFill="1" applyBorder="1" applyAlignment="1">
      <alignment horizontal="center"/>
    </xf>
    <xf numFmtId="0" fontId="65" fillId="17" borderId="11" xfId="0" applyFont="1" applyFill="1" applyBorder="1" applyAlignment="1">
      <alignment horizontal="center"/>
    </xf>
    <xf numFmtId="0" fontId="65" fillId="14" borderId="19" xfId="0" applyFont="1" applyFill="1" applyBorder="1" applyAlignment="1">
      <alignment horizontal="center"/>
    </xf>
    <xf numFmtId="0" fontId="65" fillId="14" borderId="11" xfId="0" applyFont="1" applyFill="1" applyBorder="1" applyAlignment="1">
      <alignment horizontal="center"/>
    </xf>
    <xf numFmtId="0" fontId="66" fillId="17" borderId="5" xfId="0" applyFont="1" applyFill="1" applyBorder="1" applyAlignment="1">
      <alignment horizontal="center"/>
    </xf>
    <xf numFmtId="0" fontId="65" fillId="17" borderId="4" xfId="0" applyFont="1" applyFill="1" applyBorder="1" applyAlignment="1">
      <alignment horizontal="center"/>
    </xf>
    <xf numFmtId="0" fontId="6" fillId="13" borderId="11" xfId="0" applyFont="1" applyFill="1" applyBorder="1" applyAlignment="1">
      <alignment horizontal="center" vertical="center"/>
    </xf>
    <xf numFmtId="0" fontId="6" fillId="13" borderId="11" xfId="0" applyFont="1" applyFill="1" applyBorder="1" applyAlignment="1">
      <alignment horizontal="center"/>
    </xf>
    <xf numFmtId="0" fontId="6" fillId="13" borderId="12" xfId="0" applyFont="1" applyFill="1" applyBorder="1" applyAlignment="1">
      <alignment horizontal="center"/>
    </xf>
    <xf numFmtId="0" fontId="6" fillId="13" borderId="12" xfId="0" applyFont="1" applyFill="1" applyBorder="1" applyAlignment="1">
      <alignment horizontal="center" vertical="center"/>
    </xf>
    <xf numFmtId="0" fontId="0" fillId="17" borderId="11" xfId="0" applyFill="1" applyBorder="1" applyAlignment="1">
      <alignment horizontal="center" vertical="center"/>
    </xf>
    <xf numFmtId="1" fontId="0" fillId="17" borderId="11" xfId="0" applyNumberFormat="1" applyFill="1" applyBorder="1" applyAlignment="1">
      <alignment horizontal="center" vertical="center"/>
    </xf>
    <xf numFmtId="1" fontId="0" fillId="17" borderId="12" xfId="0" applyNumberFormat="1" applyFill="1" applyBorder="1" applyAlignment="1">
      <alignment horizontal="center" vertical="center"/>
    </xf>
    <xf numFmtId="0" fontId="0" fillId="14" borderId="11" xfId="0" applyFill="1" applyBorder="1" applyAlignment="1">
      <alignment horizontal="center" vertical="center"/>
    </xf>
    <xf numFmtId="1" fontId="0" fillId="14" borderId="11" xfId="0" applyNumberFormat="1" applyFill="1" applyBorder="1" applyAlignment="1">
      <alignment horizontal="center" vertical="center"/>
    </xf>
    <xf numFmtId="1" fontId="0" fillId="14" borderId="12" xfId="0" applyNumberFormat="1" applyFill="1" applyBorder="1" applyAlignment="1">
      <alignment horizontal="center" vertical="center"/>
    </xf>
    <xf numFmtId="0" fontId="0" fillId="14" borderId="4" xfId="0" applyFill="1" applyBorder="1" applyAlignment="1">
      <alignment horizontal="center" vertical="center"/>
    </xf>
    <xf numFmtId="1" fontId="0" fillId="14" borderId="4" xfId="0" applyNumberFormat="1" applyFill="1" applyBorder="1" applyAlignment="1">
      <alignment horizontal="center" vertical="center"/>
    </xf>
    <xf numFmtId="0" fontId="0" fillId="14" borderId="2" xfId="0" applyFill="1" applyBorder="1" applyAlignment="1">
      <alignment horizontal="center" vertical="center"/>
    </xf>
    <xf numFmtId="169" fontId="0" fillId="14" borderId="4" xfId="0" applyNumberFormat="1" applyFill="1" applyBorder="1" applyAlignment="1">
      <alignment horizontal="center" vertical="center"/>
    </xf>
    <xf numFmtId="169" fontId="0" fillId="14" borderId="2" xfId="0" applyNumberFormat="1" applyFill="1" applyBorder="1" applyAlignment="1">
      <alignment horizontal="center" vertical="center"/>
    </xf>
    <xf numFmtId="0" fontId="6" fillId="13" borderId="39" xfId="0" applyFont="1" applyFill="1" applyBorder="1" applyAlignment="1">
      <alignment horizontal="center"/>
    </xf>
    <xf numFmtId="10" fontId="65" fillId="17" borderId="40" xfId="0" applyNumberFormat="1" applyFont="1" applyFill="1" applyBorder="1" applyAlignment="1">
      <alignment horizontal="center"/>
    </xf>
    <xf numFmtId="10" fontId="65" fillId="14" borderId="40" xfId="0" applyNumberFormat="1" applyFont="1" applyFill="1" applyBorder="1" applyAlignment="1">
      <alignment horizontal="center"/>
    </xf>
    <xf numFmtId="0" fontId="66" fillId="18" borderId="41" xfId="0" applyFont="1" applyFill="1" applyBorder="1" applyAlignment="1">
      <alignment horizontal="center"/>
    </xf>
    <xf numFmtId="0" fontId="65" fillId="18" borderId="42" xfId="0" applyFont="1" applyFill="1" applyBorder="1" applyAlignment="1">
      <alignment horizontal="center"/>
    </xf>
    <xf numFmtId="10" fontId="65" fillId="19" borderId="38" xfId="0" applyNumberFormat="1" applyFont="1" applyFill="1" applyBorder="1" applyAlignment="1">
      <alignment horizontal="center" vertical="center"/>
    </xf>
    <xf numFmtId="0" fontId="6" fillId="13" borderId="20" xfId="0" applyFont="1" applyFill="1" applyBorder="1" applyAlignment="1">
      <alignment horizontal="center" vertical="center"/>
    </xf>
    <xf numFmtId="0" fontId="6" fillId="13" borderId="43" xfId="0" applyFont="1" applyFill="1" applyBorder="1" applyAlignment="1">
      <alignment horizontal="center" vertical="center"/>
    </xf>
    <xf numFmtId="0" fontId="6" fillId="13" borderId="44" xfId="0" applyFont="1" applyFill="1" applyBorder="1" applyAlignment="1">
      <alignment horizontal="center" vertical="center"/>
    </xf>
    <xf numFmtId="0" fontId="0" fillId="17" borderId="45" xfId="0" applyFill="1" applyBorder="1" applyAlignment="1">
      <alignment horizontal="center" vertical="center"/>
    </xf>
    <xf numFmtId="1" fontId="0" fillId="17" borderId="42" xfId="0" applyNumberFormat="1" applyFill="1" applyBorder="1" applyAlignment="1">
      <alignment horizontal="center" vertical="center"/>
    </xf>
    <xf numFmtId="183" fontId="0" fillId="17" borderId="38" xfId="0" applyNumberFormat="1" applyFill="1" applyBorder="1" applyAlignment="1">
      <alignment horizontal="center" vertical="center"/>
    </xf>
    <xf numFmtId="2" fontId="65" fillId="17" borderId="11" xfId="0" applyNumberFormat="1" applyFont="1" applyFill="1" applyBorder="1" applyAlignment="1">
      <alignment horizontal="center"/>
    </xf>
    <xf numFmtId="2" fontId="65" fillId="17" borderId="12" xfId="0" applyNumberFormat="1" applyFont="1" applyFill="1" applyBorder="1" applyAlignment="1">
      <alignment horizontal="center"/>
    </xf>
    <xf numFmtId="2" fontId="65" fillId="14" borderId="11" xfId="0" applyNumberFormat="1" applyFont="1" applyFill="1" applyBorder="1" applyAlignment="1">
      <alignment horizontal="center"/>
    </xf>
    <xf numFmtId="2" fontId="65" fillId="14" borderId="12" xfId="0" applyNumberFormat="1" applyFont="1" applyFill="1" applyBorder="1" applyAlignment="1">
      <alignment horizontal="center"/>
    </xf>
    <xf numFmtId="2" fontId="65" fillId="17" borderId="4" xfId="0" applyNumberFormat="1" applyFont="1" applyFill="1" applyBorder="1" applyAlignment="1">
      <alignment horizontal="center"/>
    </xf>
    <xf numFmtId="2" fontId="65" fillId="17" borderId="2" xfId="0" applyNumberFormat="1" applyFont="1" applyFill="1" applyBorder="1" applyAlignment="1">
      <alignment horizontal="center"/>
    </xf>
    <xf numFmtId="10" fontId="65" fillId="17" borderId="12" xfId="0" applyNumberFormat="1" applyFont="1" applyFill="1" applyBorder="1" applyAlignment="1">
      <alignment horizontal="center"/>
    </xf>
    <xf numFmtId="10" fontId="65" fillId="14" borderId="12" xfId="0" applyNumberFormat="1" applyFont="1" applyFill="1" applyBorder="1" applyAlignment="1">
      <alignment horizontal="center"/>
    </xf>
    <xf numFmtId="0" fontId="66" fillId="18" borderId="4" xfId="0" applyFont="1" applyFill="1" applyBorder="1" applyAlignment="1">
      <alignment horizontal="center"/>
    </xf>
    <xf numFmtId="0" fontId="65" fillId="18" borderId="4" xfId="0" applyFont="1" applyFill="1" applyBorder="1" applyAlignment="1">
      <alignment horizontal="center"/>
    </xf>
    <xf numFmtId="10" fontId="65" fillId="18" borderId="2" xfId="0" applyNumberFormat="1" applyFont="1" applyFill="1" applyBorder="1" applyAlignment="1">
      <alignment horizontal="center"/>
    </xf>
    <xf numFmtId="165" fontId="8" fillId="3" borderId="6" xfId="0" applyNumberFormat="1" applyFont="1" applyFill="1" applyBorder="1" applyAlignment="1">
      <alignment horizontal="center" vertical="center" wrapText="1"/>
    </xf>
    <xf numFmtId="179" fontId="65" fillId="17" borderId="12" xfId="2" applyNumberFormat="1" applyFont="1" applyFill="1" applyBorder="1" applyAlignment="1">
      <alignment horizontal="center"/>
    </xf>
    <xf numFmtId="179" fontId="65" fillId="14" borderId="12" xfId="2" applyNumberFormat="1" applyFont="1" applyFill="1" applyBorder="1" applyAlignment="1">
      <alignment horizontal="center"/>
    </xf>
    <xf numFmtId="10" fontId="68" fillId="19" borderId="38" xfId="0" applyNumberFormat="1" applyFont="1" applyFill="1" applyBorder="1" applyAlignment="1">
      <alignment horizontal="center" vertical="center"/>
    </xf>
    <xf numFmtId="183" fontId="27" fillId="0" borderId="2" xfId="0" applyNumberFormat="1" applyFont="1" applyBorder="1" applyAlignment="1">
      <alignment horizontal="center" vertical="center"/>
    </xf>
    <xf numFmtId="165" fontId="0" fillId="17" borderId="42" xfId="0" applyNumberFormat="1" applyFill="1" applyBorder="1" applyAlignment="1">
      <alignment horizontal="center" vertical="center"/>
    </xf>
    <xf numFmtId="167" fontId="0" fillId="14" borderId="4" xfId="0" applyNumberFormat="1" applyFill="1" applyBorder="1" applyAlignment="1">
      <alignment horizontal="center" vertical="center"/>
    </xf>
    <xf numFmtId="188" fontId="2" fillId="0" borderId="2" xfId="0" applyNumberFormat="1" applyFont="1" applyBorder="1" applyAlignment="1">
      <alignment horizontal="center"/>
    </xf>
    <xf numFmtId="10" fontId="10" fillId="2" borderId="2" xfId="2" quotePrefix="1" applyNumberFormat="1" applyFont="1" applyFill="1" applyBorder="1" applyAlignment="1">
      <alignment vertical="center"/>
    </xf>
    <xf numFmtId="0" fontId="0" fillId="0" borderId="14" xfId="0" applyBorder="1" applyAlignment="1">
      <alignment horizontal="left" vertical="top" wrapText="1" indent="1"/>
    </xf>
    <xf numFmtId="0" fontId="0" fillId="0" borderId="1" xfId="0" applyBorder="1" applyAlignment="1">
      <alignment horizontal="left" vertical="top" wrapText="1" indent="1"/>
    </xf>
    <xf numFmtId="0" fontId="0" fillId="0" borderId="18" xfId="0" applyBorder="1" applyAlignment="1">
      <alignment horizontal="left" vertical="top" wrapText="1" indent="1"/>
    </xf>
    <xf numFmtId="0" fontId="0" fillId="0" borderId="10" xfId="0" applyBorder="1" applyAlignment="1">
      <alignment horizontal="left" vertical="top" wrapText="1" indent="1"/>
    </xf>
    <xf numFmtId="0" fontId="2" fillId="0" borderId="11" xfId="0" applyFont="1" applyBorder="1" applyAlignment="1">
      <alignment horizontal="left" vertical="top" wrapText="1"/>
    </xf>
    <xf numFmtId="0" fontId="2" fillId="0" borderId="15" xfId="0" applyFont="1" applyBorder="1" applyAlignment="1">
      <alignment horizontal="left" vertical="top" wrapText="1"/>
    </xf>
    <xf numFmtId="0" fontId="21" fillId="0" borderId="2" xfId="0" applyFont="1" applyBorder="1" applyAlignment="1">
      <alignment horizontal="left" vertical="center"/>
    </xf>
    <xf numFmtId="0" fontId="21" fillId="0" borderId="2" xfId="0" applyFont="1" applyBorder="1" applyAlignment="1">
      <alignment horizontal="left" vertical="center" wrapText="1"/>
    </xf>
    <xf numFmtId="0" fontId="13" fillId="0" borderId="0" xfId="0" applyFont="1"/>
    <xf numFmtId="0" fontId="2" fillId="0" borderId="19" xfId="0" applyFont="1" applyBorder="1" applyAlignment="1">
      <alignment horizontal="left" vertical="center"/>
    </xf>
    <xf numFmtId="0" fontId="2" fillId="0" borderId="9" xfId="0" applyFont="1" applyBorder="1" applyAlignment="1">
      <alignment horizontal="left" vertical="center"/>
    </xf>
    <xf numFmtId="0" fontId="2" fillId="0" borderId="4" xfId="0" applyFont="1" applyBorder="1" applyAlignment="1">
      <alignment horizontal="center" wrapText="1"/>
    </xf>
    <xf numFmtId="0" fontId="2" fillId="0" borderId="6" xfId="0" applyFont="1" applyBorder="1" applyAlignment="1">
      <alignment horizontal="center" wrapText="1"/>
    </xf>
    <xf numFmtId="0" fontId="5" fillId="0" borderId="5" xfId="0" applyFont="1" applyBorder="1" applyAlignment="1">
      <alignment vertical="center"/>
    </xf>
    <xf numFmtId="0" fontId="5" fillId="0" borderId="6" xfId="0" applyFont="1" applyBorder="1" applyAlignment="1">
      <alignment vertical="center"/>
    </xf>
    <xf numFmtId="0" fontId="35" fillId="0" borderId="5" xfId="0" applyFont="1" applyBorder="1" applyAlignment="1">
      <alignment vertical="center"/>
    </xf>
    <xf numFmtId="0" fontId="35" fillId="0" borderId="6" xfId="0" applyFont="1" applyBorder="1" applyAlignment="1">
      <alignment vertical="center"/>
    </xf>
    <xf numFmtId="0" fontId="5" fillId="0" borderId="25" xfId="0" applyFont="1" applyBorder="1" applyAlignment="1">
      <alignment vertical="center"/>
    </xf>
    <xf numFmtId="0" fontId="5" fillId="0" borderId="4" xfId="0" applyFont="1" applyBorder="1" applyAlignment="1">
      <alignment vertical="center"/>
    </xf>
    <xf numFmtId="0" fontId="14" fillId="0" borderId="5" xfId="0" applyFont="1" applyBorder="1" applyAlignment="1">
      <alignment vertical="center"/>
    </xf>
    <xf numFmtId="0" fontId="14" fillId="0" borderId="25" xfId="0" applyFont="1" applyBorder="1" applyAlignment="1">
      <alignment vertical="center"/>
    </xf>
    <xf numFmtId="0" fontId="14" fillId="0" borderId="4" xfId="0" applyFont="1" applyBorder="1" applyAlignment="1">
      <alignment vertical="center"/>
    </xf>
    <xf numFmtId="0" fontId="35" fillId="0" borderId="19" xfId="0" applyFont="1" applyBorder="1" applyAlignment="1">
      <alignment vertical="center"/>
    </xf>
    <xf numFmtId="0" fontId="35" fillId="0" borderId="26" xfId="0" applyFont="1" applyBorder="1" applyAlignment="1">
      <alignment vertical="center"/>
    </xf>
    <xf numFmtId="0" fontId="5" fillId="0" borderId="5" xfId="0" applyFont="1" applyBorder="1" applyAlignment="1">
      <alignment vertical="center" wrapText="1"/>
    </xf>
    <xf numFmtId="0" fontId="5" fillId="0" borderId="25" xfId="0" applyFont="1" applyBorder="1" applyAlignment="1">
      <alignment vertical="center" wrapText="1"/>
    </xf>
    <xf numFmtId="0" fontId="35" fillId="0" borderId="2" xfId="0" applyFont="1" applyBorder="1" applyAlignment="1">
      <alignment horizontal="left" vertical="center"/>
    </xf>
    <xf numFmtId="0" fontId="14" fillId="0" borderId="2" xfId="0" applyFont="1" applyBorder="1" applyAlignment="1">
      <alignment horizontal="left" vertical="center" wrapText="1"/>
    </xf>
    <xf numFmtId="0" fontId="5" fillId="0" borderId="2" xfId="0" applyFont="1" applyBorder="1" applyAlignment="1">
      <alignment horizontal="center" vertical="center"/>
    </xf>
    <xf numFmtId="0" fontId="35" fillId="0" borderId="12" xfId="0" applyFont="1" applyBorder="1" applyAlignment="1">
      <alignment horizontal="left" vertical="center"/>
    </xf>
    <xf numFmtId="0" fontId="35" fillId="0" borderId="8" xfId="0" applyFont="1" applyBorder="1" applyAlignment="1">
      <alignment horizontal="left" vertical="center"/>
    </xf>
    <xf numFmtId="0" fontId="35" fillId="0" borderId="12" xfId="0" applyFont="1" applyBorder="1" applyAlignment="1">
      <alignment vertical="center" wrapText="1"/>
    </xf>
    <xf numFmtId="0" fontId="35" fillId="0" borderId="7" xfId="0" applyFont="1" applyBorder="1" applyAlignment="1">
      <alignment vertical="center" wrapText="1"/>
    </xf>
    <xf numFmtId="0" fontId="35" fillId="0" borderId="8" xfId="0" applyFont="1" applyBorder="1" applyAlignment="1">
      <alignment vertical="center" wrapText="1"/>
    </xf>
    <xf numFmtId="0" fontId="35" fillId="0" borderId="25"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14" fillId="0" borderId="27" xfId="0" applyFont="1" applyBorder="1" applyAlignment="1">
      <alignment horizontal="left" vertical="center"/>
    </xf>
    <xf numFmtId="0" fontId="14" fillId="0" borderId="5" xfId="0" applyFont="1" applyBorder="1" applyAlignment="1">
      <alignment horizontal="left" vertical="center"/>
    </xf>
    <xf numFmtId="0" fontId="42" fillId="0" borderId="2"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5" fillId="0" borderId="7" xfId="0" applyFont="1" applyBorder="1" applyAlignment="1">
      <alignment horizontal="left" vertical="center"/>
    </xf>
    <xf numFmtId="0" fontId="35" fillId="0" borderId="7" xfId="0" applyFont="1" applyBorder="1" applyAlignment="1">
      <alignment vertical="center"/>
    </xf>
    <xf numFmtId="0" fontId="35" fillId="0" borderId="8" xfId="0" applyFont="1" applyBorder="1" applyAlignment="1">
      <alignment vertical="center"/>
    </xf>
    <xf numFmtId="0" fontId="5" fillId="0" borderId="19" xfId="0" applyFont="1" applyBorder="1" applyAlignment="1">
      <alignment vertical="center"/>
    </xf>
    <xf numFmtId="0" fontId="5" fillId="0" borderId="26" xfId="0" applyFont="1" applyBorder="1" applyAlignment="1">
      <alignment vertical="center"/>
    </xf>
    <xf numFmtId="0" fontId="5" fillId="0" borderId="19" xfId="0" quotePrefix="1" applyFont="1"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12"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51" fillId="0" borderId="0" xfId="0" applyFont="1"/>
    <xf numFmtId="0" fontId="51" fillId="0" borderId="22" xfId="0" applyFont="1" applyBorder="1"/>
    <xf numFmtId="0" fontId="14" fillId="0" borderId="5" xfId="0" applyFont="1" applyBorder="1" applyAlignment="1">
      <alignment vertical="center" wrapText="1"/>
    </xf>
    <xf numFmtId="0" fontId="14" fillId="0" borderId="6" xfId="0" applyFont="1" applyBorder="1" applyAlignment="1">
      <alignment vertical="center" wrapText="1"/>
    </xf>
    <xf numFmtId="0" fontId="14" fillId="0" borderId="19" xfId="0" applyFont="1" applyBorder="1" applyAlignment="1">
      <alignment vertical="center" wrapText="1"/>
    </xf>
    <xf numFmtId="0" fontId="14" fillId="0" borderId="15" xfId="0" applyFont="1" applyBorder="1" applyAlignment="1">
      <alignment vertical="center" wrapText="1"/>
    </xf>
    <xf numFmtId="0" fontId="14" fillId="0" borderId="2" xfId="0" applyFont="1" applyBorder="1" applyAlignment="1">
      <alignment vertical="center" wrapText="1"/>
    </xf>
    <xf numFmtId="0" fontId="5" fillId="0" borderId="5" xfId="0" quotePrefix="1" applyFont="1" applyBorder="1" applyAlignment="1">
      <alignment vertical="center"/>
    </xf>
    <xf numFmtId="0" fontId="5" fillId="0" borderId="13" xfId="0" quotePrefix="1" applyFont="1" applyBorder="1" applyAlignment="1">
      <alignment vertical="center"/>
    </xf>
    <xf numFmtId="0" fontId="5" fillId="0" borderId="13" xfId="0" applyFont="1" applyBorder="1" applyAlignment="1">
      <alignment vertical="center"/>
    </xf>
    <xf numFmtId="0" fontId="13" fillId="0" borderId="13" xfId="0" applyFont="1" applyBorder="1" applyAlignment="1">
      <alignment horizontal="center" vertical="center"/>
    </xf>
    <xf numFmtId="0" fontId="13" fillId="0" borderId="17" xfId="0" applyFont="1" applyBorder="1" applyAlignment="1">
      <alignment horizontal="center" vertical="center"/>
    </xf>
    <xf numFmtId="0" fontId="21" fillId="0" borderId="2" xfId="0" applyFont="1" applyBorder="1" applyAlignment="1">
      <alignment horizontal="left" vertical="top" wrapText="1"/>
    </xf>
    <xf numFmtId="0" fontId="21" fillId="0" borderId="12"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59"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12" xfId="0" applyFont="1" applyBorder="1" applyAlignment="1">
      <alignment horizontal="left" vertical="center" wrapText="1"/>
    </xf>
    <xf numFmtId="0" fontId="21" fillId="0" borderId="7" xfId="0" applyFont="1" applyBorder="1" applyAlignment="1">
      <alignment horizontal="left" vertical="center" wrapText="1"/>
    </xf>
    <xf numFmtId="0" fontId="21" fillId="0" borderId="8" xfId="0" applyFont="1" applyBorder="1" applyAlignment="1">
      <alignment horizontal="left" vertical="center" wrapText="1"/>
    </xf>
    <xf numFmtId="0" fontId="25" fillId="0" borderId="2" xfId="0" applyFont="1" applyBorder="1" applyAlignment="1">
      <alignment horizontal="left" vertical="center" wrapText="1"/>
    </xf>
    <xf numFmtId="0" fontId="59" fillId="0" borderId="5" xfId="0" applyFont="1" applyBorder="1" applyAlignment="1">
      <alignment horizontal="center" vertical="center" wrapText="1"/>
    </xf>
    <xf numFmtId="0" fontId="59" fillId="0" borderId="6" xfId="0" applyFont="1" applyBorder="1" applyAlignment="1">
      <alignment horizontal="center" vertical="center" wrapText="1"/>
    </xf>
    <xf numFmtId="1" fontId="48" fillId="0" borderId="12" xfId="0" applyNumberFormat="1" applyFont="1" applyBorder="1" applyAlignment="1">
      <alignment horizontal="left" vertical="center" wrapText="1"/>
    </xf>
    <xf numFmtId="1" fontId="48" fillId="0" borderId="8" xfId="0" applyNumberFormat="1" applyFont="1" applyBorder="1" applyAlignment="1">
      <alignment horizontal="left" vertical="center" wrapText="1"/>
    </xf>
    <xf numFmtId="0" fontId="59" fillId="0" borderId="4" xfId="0" applyFont="1" applyBorder="1" applyAlignment="1">
      <alignment horizontal="center" vertical="center"/>
    </xf>
    <xf numFmtId="0" fontId="59" fillId="0" borderId="5" xfId="0" applyFont="1" applyBorder="1" applyAlignment="1">
      <alignment horizontal="center" vertical="center"/>
    </xf>
    <xf numFmtId="0" fontId="59" fillId="0" borderId="6" xfId="0" applyFont="1" applyBorder="1" applyAlignment="1">
      <alignment horizontal="center" vertical="center"/>
    </xf>
    <xf numFmtId="0" fontId="29" fillId="0" borderId="2" xfId="0" applyFont="1" applyBorder="1" applyAlignment="1">
      <alignment horizontal="left" vertical="center" wrapText="1"/>
    </xf>
    <xf numFmtId="0" fontId="25" fillId="0" borderId="4" xfId="0" applyFont="1" applyBorder="1" applyAlignment="1">
      <alignment horizontal="left" vertical="center" wrapText="1"/>
    </xf>
    <xf numFmtId="0" fontId="25" fillId="0" borderId="6" xfId="0" applyFont="1" applyBorder="1" applyAlignment="1">
      <alignment horizontal="left" vertical="center" wrapText="1"/>
    </xf>
    <xf numFmtId="0" fontId="25" fillId="0" borderId="4" xfId="0" applyFont="1" applyBorder="1" applyAlignment="1">
      <alignment horizontal="left" wrapText="1"/>
    </xf>
    <xf numFmtId="0" fontId="25" fillId="0" borderId="6" xfId="0" applyFont="1" applyBorder="1" applyAlignment="1">
      <alignment horizontal="left" wrapText="1"/>
    </xf>
    <xf numFmtId="0" fontId="29" fillId="0" borderId="8" xfId="0" applyFont="1" applyBorder="1" applyAlignment="1">
      <alignment horizontal="left" vertical="center" wrapText="1"/>
    </xf>
    <xf numFmtId="0" fontId="21" fillId="0" borderId="14" xfId="0" applyFont="1" applyBorder="1" applyAlignment="1">
      <alignment horizontal="left" vertical="center" wrapText="1"/>
    </xf>
    <xf numFmtId="0" fontId="21" fillId="0" borderId="0" xfId="0" applyFont="1" applyAlignment="1">
      <alignment horizontal="left" vertical="center" wrapText="1"/>
    </xf>
    <xf numFmtId="0" fontId="25" fillId="0" borderId="2" xfId="0" applyFont="1" applyBorder="1" applyAlignment="1">
      <alignment horizontal="left" vertical="center"/>
    </xf>
    <xf numFmtId="0" fontId="60" fillId="0" borderId="4" xfId="0" applyFont="1" applyBorder="1" applyAlignment="1">
      <alignment horizontal="center" vertical="center"/>
    </xf>
    <xf numFmtId="0" fontId="60" fillId="0" borderId="5" xfId="0" applyFont="1" applyBorder="1" applyAlignment="1">
      <alignment horizontal="center" vertical="center"/>
    </xf>
    <xf numFmtId="0" fontId="60" fillId="0" borderId="6" xfId="0" applyFont="1" applyBorder="1" applyAlignment="1">
      <alignment horizontal="center" vertical="center"/>
    </xf>
    <xf numFmtId="0" fontId="21" fillId="0" borderId="4" xfId="0" applyFont="1" applyBorder="1" applyAlignment="1">
      <alignment horizontal="left" vertical="top" wrapText="1"/>
    </xf>
    <xf numFmtId="0" fontId="21" fillId="0" borderId="6" xfId="0" applyFont="1" applyBorder="1" applyAlignment="1">
      <alignment horizontal="left" vertical="top" wrapText="1"/>
    </xf>
    <xf numFmtId="0" fontId="21" fillId="4" borderId="18" xfId="0" applyFont="1" applyFill="1" applyBorder="1" applyAlignment="1">
      <alignment horizontal="left" vertical="center" wrapText="1"/>
    </xf>
    <xf numFmtId="0" fontId="21" fillId="4" borderId="9" xfId="0" applyFont="1" applyFill="1" applyBorder="1" applyAlignment="1">
      <alignment horizontal="left" vertical="center" wrapText="1"/>
    </xf>
    <xf numFmtId="0" fontId="25" fillId="0" borderId="8" xfId="0" applyFont="1" applyBorder="1" applyAlignment="1">
      <alignment horizontal="left"/>
    </xf>
    <xf numFmtId="0" fontId="21" fillId="0" borderId="4" xfId="0" applyFont="1" applyBorder="1" applyAlignment="1">
      <alignment horizontal="left" vertical="center"/>
    </xf>
    <xf numFmtId="0" fontId="21" fillId="0" borderId="6" xfId="0" applyFont="1" applyBorder="1" applyAlignment="1">
      <alignment horizontal="left" vertical="center"/>
    </xf>
    <xf numFmtId="0" fontId="21" fillId="0" borderId="4" xfId="0" applyFont="1" applyBorder="1" applyAlignment="1">
      <alignment horizontal="left" vertical="center" wrapText="1"/>
    </xf>
    <xf numFmtId="0" fontId="21" fillId="0" borderId="6" xfId="0" applyFont="1" applyBorder="1" applyAlignment="1">
      <alignment horizontal="left" vertical="center" wrapText="1"/>
    </xf>
    <xf numFmtId="0" fontId="21" fillId="0" borderId="13" xfId="0" applyFont="1" applyBorder="1" applyAlignment="1">
      <alignment horizontal="left" vertical="center" wrapText="1"/>
    </xf>
    <xf numFmtId="0" fontId="25" fillId="0" borderId="2" xfId="0" applyFont="1" applyBorder="1" applyAlignment="1">
      <alignment horizontal="left"/>
    </xf>
    <xf numFmtId="0" fontId="20" fillId="0" borderId="4" xfId="0" applyFont="1" applyBorder="1" applyAlignment="1">
      <alignment horizontal="left" vertical="center" wrapText="1"/>
    </xf>
    <xf numFmtId="0" fontId="20" fillId="0" borderId="6" xfId="0" applyFont="1" applyBorder="1" applyAlignment="1">
      <alignment horizontal="left" vertical="center" wrapText="1"/>
    </xf>
    <xf numFmtId="0" fontId="20" fillId="0" borderId="20" xfId="0" applyFont="1" applyBorder="1" applyAlignment="1">
      <alignment horizontal="left" vertical="center" wrapText="1"/>
    </xf>
    <xf numFmtId="0" fontId="20" fillId="0" borderId="21" xfId="0" applyFont="1" applyBorder="1" applyAlignment="1">
      <alignment horizontal="left" vertical="center" wrapText="1"/>
    </xf>
    <xf numFmtId="0" fontId="20" fillId="0" borderId="22" xfId="0" applyFont="1" applyBorder="1" applyAlignment="1">
      <alignment horizontal="left" vertical="center" wrapText="1"/>
    </xf>
    <xf numFmtId="0" fontId="20" fillId="0" borderId="23" xfId="0" applyFont="1" applyBorder="1" applyAlignment="1">
      <alignment horizontal="left" vertical="center" wrapText="1"/>
    </xf>
    <xf numFmtId="0" fontId="20" fillId="0" borderId="16" xfId="0" applyFont="1" applyBorder="1" applyAlignment="1">
      <alignment horizontal="left" vertical="center" wrapText="1"/>
    </xf>
    <xf numFmtId="0" fontId="20" fillId="0" borderId="24" xfId="0" applyFont="1" applyBorder="1" applyAlignment="1">
      <alignment horizontal="left" vertical="center" wrapText="1"/>
    </xf>
    <xf numFmtId="2" fontId="0" fillId="0" borderId="0" xfId="0" applyNumberFormat="1" applyAlignment="1">
      <alignment horizontal="center" vertical="center"/>
    </xf>
  </cellXfs>
  <cellStyles count="4">
    <cellStyle name="Hyperlink" xfId="3" builtinId="8"/>
    <cellStyle name="Normal" xfId="0" builtinId="0"/>
    <cellStyle name="Normal 3" xfId="1" xr:uid="{00000000-0005-0000-0000-000002000000}"/>
    <cellStyle name="Percent" xfId="2" builtinId="5"/>
  </cellStyles>
  <dxfs count="0"/>
  <tableStyles count="0" defaultTableStyle="TableStyleMedium2" defaultPivotStyle="PivotStyleLight16"/>
  <colors>
    <mruColors>
      <color rgb="FFFF00FF"/>
      <color rgb="FF000000"/>
      <color rgb="FFCC6600"/>
      <color rgb="FF04FC10"/>
      <color rgb="FF01FF86"/>
      <color rgb="FFFFA1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70289</xdr:colOff>
      <xdr:row>36</xdr:row>
      <xdr:rowOff>147560</xdr:rowOff>
    </xdr:to>
    <xdr:pic>
      <xdr:nvPicPr>
        <xdr:cNvPr id="12" name="Picture 11">
          <a:extLst>
            <a:ext uri="{FF2B5EF4-FFF2-40B4-BE49-F238E27FC236}">
              <a16:creationId xmlns:a16="http://schemas.microsoft.com/office/drawing/2014/main" id="{2A195CFF-C3DE-3274-DAFD-8AC65E8308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04289" cy="7005560"/>
        </a:xfrm>
        <a:prstGeom prst="rect">
          <a:avLst/>
        </a:prstGeom>
      </xdr:spPr>
    </xdr:pic>
    <xdr:clientData/>
  </xdr:twoCellAnchor>
  <xdr:twoCellAnchor editAs="oneCell">
    <xdr:from>
      <xdr:col>7</xdr:col>
      <xdr:colOff>79380</xdr:colOff>
      <xdr:row>0</xdr:row>
      <xdr:rowOff>0</xdr:rowOff>
    </xdr:from>
    <xdr:to>
      <xdr:col>14</xdr:col>
      <xdr:colOff>140138</xdr:colOff>
      <xdr:row>36</xdr:row>
      <xdr:rowOff>147560</xdr:rowOff>
    </xdr:to>
    <xdr:pic>
      <xdr:nvPicPr>
        <xdr:cNvPr id="7" name="Picture 6">
          <a:extLst>
            <a:ext uri="{FF2B5EF4-FFF2-40B4-BE49-F238E27FC236}">
              <a16:creationId xmlns:a16="http://schemas.microsoft.com/office/drawing/2014/main" id="{941B7F9A-DDEA-6D6D-1FD9-539319F42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3380" y="0"/>
          <a:ext cx="5394758" cy="7005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34</xdr:row>
      <xdr:rowOff>95250</xdr:rowOff>
    </xdr:from>
    <xdr:to>
      <xdr:col>5</xdr:col>
      <xdr:colOff>1206500</xdr:colOff>
      <xdr:row>34</xdr:row>
      <xdr:rowOff>425450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242550" y="8401050"/>
          <a:ext cx="539115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314325</xdr:colOff>
      <xdr:row>40</xdr:row>
      <xdr:rowOff>95250</xdr:rowOff>
    </xdr:from>
    <xdr:to>
      <xdr:col>4</xdr:col>
      <xdr:colOff>4892675</xdr:colOff>
      <xdr:row>41</xdr:row>
      <xdr:rowOff>0</xdr:rowOff>
    </xdr:to>
    <xdr:pic>
      <xdr:nvPicPr>
        <xdr:cNvPr id="3" name="Picture 2">
          <a:extLst>
            <a:ext uri="{FF2B5EF4-FFF2-40B4-BE49-F238E27FC236}">
              <a16:creationId xmlns:a16="http://schemas.microsoft.com/office/drawing/2014/main" id="{00000000-0008-0000-0400-000003000000}"/>
            </a:ext>
            <a:ext uri="{147F2762-F138-4A5C-976F-8EAC2B608ADB}">
              <a16:predDERef xmlns:a16="http://schemas.microsoft.com/office/drawing/2014/main" pred="{00000000-0008-0000-0400-000004000000}"/>
            </a:ext>
          </a:extLst>
        </xdr:cNvPr>
        <xdr:cNvPicPr>
          <a:picLocks noChangeAspect="1"/>
        </xdr:cNvPicPr>
      </xdr:nvPicPr>
      <xdr:blipFill>
        <a:blip xmlns:r="http://schemas.openxmlformats.org/officeDocument/2006/relationships" r:embed="rId2"/>
        <a:stretch>
          <a:fillRect/>
        </a:stretch>
      </xdr:blipFill>
      <xdr:spPr>
        <a:xfrm>
          <a:off x="10229850" y="12982575"/>
          <a:ext cx="4572000" cy="533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xdr:colOff>
      <xdr:row>34</xdr:row>
      <xdr:rowOff>95250</xdr:rowOff>
    </xdr:from>
    <xdr:to>
      <xdr:col>5</xdr:col>
      <xdr:colOff>1206500</xdr:colOff>
      <xdr:row>34</xdr:row>
      <xdr:rowOff>425450</xdr:rowOff>
    </xdr:to>
    <xdr:pic>
      <xdr:nvPicPr>
        <xdr:cNvPr id="2" name="Picture 1">
          <a:extLst>
            <a:ext uri="{FF2B5EF4-FFF2-40B4-BE49-F238E27FC236}">
              <a16:creationId xmlns:a16="http://schemas.microsoft.com/office/drawing/2014/main" id="{73A9F09B-2DCC-4945-9F41-5934901200F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10850" y="10280650"/>
          <a:ext cx="668655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314325</xdr:colOff>
      <xdr:row>40</xdr:row>
      <xdr:rowOff>95250</xdr:rowOff>
    </xdr:from>
    <xdr:to>
      <xdr:col>4</xdr:col>
      <xdr:colOff>4892675</xdr:colOff>
      <xdr:row>41</xdr:row>
      <xdr:rowOff>0</xdr:rowOff>
    </xdr:to>
    <xdr:pic>
      <xdr:nvPicPr>
        <xdr:cNvPr id="3" name="Picture 2">
          <a:extLst>
            <a:ext uri="{FF2B5EF4-FFF2-40B4-BE49-F238E27FC236}">
              <a16:creationId xmlns:a16="http://schemas.microsoft.com/office/drawing/2014/main" id="{A7C94DDD-17F0-4AC3-928A-7EFC01EFFC0C}"/>
            </a:ext>
            <a:ext uri="{147F2762-F138-4A5C-976F-8EAC2B608ADB}">
              <a16:predDERef xmlns:a16="http://schemas.microsoft.com/office/drawing/2014/main" pred="{00000000-0008-0000-0400-000004000000}"/>
            </a:ext>
          </a:extLst>
        </xdr:cNvPr>
        <xdr:cNvPicPr>
          <a:picLocks noChangeAspect="1"/>
        </xdr:cNvPicPr>
      </xdr:nvPicPr>
      <xdr:blipFill>
        <a:blip xmlns:r="http://schemas.openxmlformats.org/officeDocument/2006/relationships" r:embed="rId2"/>
        <a:stretch>
          <a:fillRect/>
        </a:stretch>
      </xdr:blipFill>
      <xdr:spPr>
        <a:xfrm>
          <a:off x="10906125" y="12928600"/>
          <a:ext cx="457835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7.bin"/><Relationship Id="rId7" Type="http://schemas.openxmlformats.org/officeDocument/2006/relationships/drawing" Target="../drawings/drawing2.xml"/><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5" Type="http://schemas.openxmlformats.org/officeDocument/2006/relationships/printerSettings" Target="../printerSettings/printerSettings48.bin"/><Relationship Id="rId4" Type="http://schemas.openxmlformats.org/officeDocument/2006/relationships/printerSettings" Target="../printerSettings/printerSettings4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6" Type="http://schemas.openxmlformats.org/officeDocument/2006/relationships/printerSettings" Target="../printerSettings/printerSettings63.bin"/><Relationship Id="rId5" Type="http://schemas.openxmlformats.org/officeDocument/2006/relationships/printerSettings" Target="../printerSettings/printerSettings62.bin"/><Relationship Id="rId4" Type="http://schemas.openxmlformats.org/officeDocument/2006/relationships/printerSettings" Target="../printerSettings/printerSettings61.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6" Type="http://schemas.openxmlformats.org/officeDocument/2006/relationships/printerSettings" Target="../printerSettings/printerSettings69.bin"/><Relationship Id="rId5" Type="http://schemas.openxmlformats.org/officeDocument/2006/relationships/printerSettings" Target="../printerSettings/printerSettings68.bin"/><Relationship Id="rId4" Type="http://schemas.openxmlformats.org/officeDocument/2006/relationships/printerSettings" Target="../printerSettings/printerSettings6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6" Type="http://schemas.openxmlformats.org/officeDocument/2006/relationships/printerSettings" Target="../printerSettings/printerSettings76.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9.bin"/><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 Id="rId6" Type="http://schemas.openxmlformats.org/officeDocument/2006/relationships/printerSettings" Target="../printerSettings/printerSettings82.bin"/><Relationship Id="rId5" Type="http://schemas.openxmlformats.org/officeDocument/2006/relationships/printerSettings" Target="../printerSettings/printerSettings81.bin"/><Relationship Id="rId4" Type="http://schemas.openxmlformats.org/officeDocument/2006/relationships/printerSettings" Target="../printerSettings/printerSettings8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5.bin"/><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 Id="rId6" Type="http://schemas.openxmlformats.org/officeDocument/2006/relationships/printerSettings" Target="../printerSettings/printerSettings88.bin"/><Relationship Id="rId5" Type="http://schemas.openxmlformats.org/officeDocument/2006/relationships/printerSettings" Target="../printerSettings/printerSettings87.bin"/><Relationship Id="rId4" Type="http://schemas.openxmlformats.org/officeDocument/2006/relationships/printerSettings" Target="../printerSettings/printerSettings8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91.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6" Type="http://schemas.openxmlformats.org/officeDocument/2006/relationships/printerSettings" Target="../printerSettings/printerSettings94.bin"/><Relationship Id="rId5" Type="http://schemas.openxmlformats.org/officeDocument/2006/relationships/printerSettings" Target="../printerSettings/printerSettings93.bin"/><Relationship Id="rId4" Type="http://schemas.openxmlformats.org/officeDocument/2006/relationships/printerSettings" Target="../printerSettings/printerSettings9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00000"/>
  </sheetPr>
  <dimension ref="A1"/>
  <sheetViews>
    <sheetView showGridLines="0" zoomScale="120" zoomScaleNormal="120" workbookViewId="0"/>
  </sheetViews>
  <sheetFormatPr defaultColWidth="11.44140625" defaultRowHeight="14.4" x14ac:dyDescent="0.3"/>
  <sheetData/>
  <sheetProtection algorithmName="SHA-512" hashValue="9JGfRw2I+ERwvZUWzjwOYRjKQCApIxzSH+0vNoG5fUOONHcpbBBPvbiCvfgBb6mHhNEVJoe5nYovyJ6GIp0puw==" saltValue="Jlv2IeLGO68IPITDS0Ljxw==" spinCount="100000" sheet="1" objects="1" scenarios="1"/>
  <customSheetViews>
    <customSheetView guid="{A8E9A491-4491-4848-9959-58297999E6F5}" showGridLines="0">
      <selection activeCell="S16" sqref="S16"/>
      <pageMargins left="0" right="0" top="0" bottom="0" header="0" footer="0"/>
      <pageSetup orientation="portrait" r:id="rId1"/>
    </customSheetView>
    <customSheetView guid="{CBE97499-8DE4-4834-9D9F-4D852DB24A20}" showGridLines="0">
      <selection activeCell="S16" sqref="S16"/>
      <pageMargins left="0" right="0" top="0" bottom="0" header="0" footer="0"/>
      <pageSetup orientation="portrait" r:id="rId2"/>
    </customSheetView>
    <customSheetView guid="{BAC701C4-B534-4ABA-907B-FE30A3505B8B}" showGridLines="0">
      <selection activeCell="S16" sqref="S16"/>
      <pageMargins left="0" right="0" top="0" bottom="0" header="0" footer="0"/>
      <pageSetup orientation="portrait" r:id="rId3"/>
    </customSheetView>
    <customSheetView guid="{3F555A8F-379C-4D2D-833A-FF346FE5F044}" showGridLines="0">
      <selection activeCell="S16" sqref="S16"/>
      <pageMargins left="0" right="0" top="0" bottom="0" header="0" footer="0"/>
      <pageSetup orientation="portrait" r:id="rId4"/>
    </customSheetView>
    <customSheetView guid="{61CEA325-629A-4670-A66B-4314E031BBF1}" showGridLines="0">
      <selection activeCell="S16" sqref="S16"/>
      <pageMargins left="0" right="0" top="0" bottom="0" header="0" footer="0"/>
      <pageSetup orientation="portrait" r:id="rId5"/>
    </customSheetView>
  </customSheetView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3"/>
  <sheetViews>
    <sheetView showGridLines="0" zoomScaleNormal="100" workbookViewId="0"/>
  </sheetViews>
  <sheetFormatPr defaultColWidth="8.6640625" defaultRowHeight="14.4" x14ac:dyDescent="0.3"/>
  <cols>
    <col min="2" max="2" width="24.6640625" customWidth="1"/>
    <col min="3" max="3" width="86.5546875" customWidth="1"/>
  </cols>
  <sheetData>
    <row r="1" spans="1:3" x14ac:dyDescent="0.3">
      <c r="A1" s="347"/>
    </row>
    <row r="2" spans="1:3" x14ac:dyDescent="0.3">
      <c r="B2" s="4" t="s">
        <v>0</v>
      </c>
    </row>
    <row r="3" spans="1:3" x14ac:dyDescent="0.3">
      <c r="B3" s="128"/>
      <c r="C3" s="49" t="s">
        <v>1</v>
      </c>
    </row>
    <row r="4" spans="1:3" x14ac:dyDescent="0.3">
      <c r="B4" s="129"/>
      <c r="C4" s="49" t="s">
        <v>2</v>
      </c>
    </row>
    <row r="5" spans="1:3" x14ac:dyDescent="0.3">
      <c r="B5" s="130"/>
      <c r="C5" s="29" t="s">
        <v>3</v>
      </c>
    </row>
    <row r="6" spans="1:3" ht="28.8" x14ac:dyDescent="0.3">
      <c r="B6" s="131">
        <v>123456</v>
      </c>
      <c r="C6" s="29" t="s">
        <v>4</v>
      </c>
    </row>
    <row r="7" spans="1:3" ht="28.8" x14ac:dyDescent="0.3">
      <c r="B7" s="94">
        <v>123456</v>
      </c>
      <c r="C7" s="29" t="s">
        <v>5</v>
      </c>
    </row>
    <row r="8" spans="1:3" x14ac:dyDescent="0.3">
      <c r="B8" s="113" t="s">
        <v>6</v>
      </c>
      <c r="C8" s="49" t="s">
        <v>7</v>
      </c>
    </row>
    <row r="9" spans="1:3" ht="28.8" x14ac:dyDescent="0.3">
      <c r="B9" s="112" t="s">
        <v>8</v>
      </c>
      <c r="C9" s="29" t="s">
        <v>9</v>
      </c>
    </row>
    <row r="12" spans="1:3" x14ac:dyDescent="0.3">
      <c r="B12" s="4" t="s">
        <v>10</v>
      </c>
    </row>
    <row r="13" spans="1:3" ht="85.5" customHeight="1" x14ac:dyDescent="0.3">
      <c r="B13" s="595" t="s">
        <v>11</v>
      </c>
      <c r="C13" s="596"/>
    </row>
    <row r="14" spans="1:3" ht="53.25" customHeight="1" x14ac:dyDescent="0.3">
      <c r="B14" s="591" t="s">
        <v>12</v>
      </c>
      <c r="C14" s="592"/>
    </row>
    <row r="15" spans="1:3" ht="70.5" customHeight="1" x14ac:dyDescent="0.3">
      <c r="B15" s="591" t="s">
        <v>13</v>
      </c>
      <c r="C15" s="592"/>
    </row>
    <row r="16" spans="1:3" ht="55.5" customHeight="1" x14ac:dyDescent="0.3">
      <c r="B16" s="591" t="s">
        <v>14</v>
      </c>
      <c r="C16" s="592"/>
    </row>
    <row r="17" spans="2:3" ht="64.5" customHeight="1" x14ac:dyDescent="0.3">
      <c r="B17" s="591" t="s">
        <v>15</v>
      </c>
      <c r="C17" s="592"/>
    </row>
    <row r="18" spans="2:3" ht="68.25" customHeight="1" x14ac:dyDescent="0.3">
      <c r="B18" s="591" t="s">
        <v>16</v>
      </c>
      <c r="C18" s="592"/>
    </row>
    <row r="19" spans="2:3" ht="70.5" customHeight="1" x14ac:dyDescent="0.3">
      <c r="B19" s="591" t="s">
        <v>17</v>
      </c>
      <c r="C19" s="592"/>
    </row>
    <row r="20" spans="2:3" ht="41.25" customHeight="1" x14ac:dyDescent="0.3">
      <c r="B20" s="593" t="s">
        <v>18</v>
      </c>
      <c r="C20" s="594"/>
    </row>
    <row r="22" spans="2:3" x14ac:dyDescent="0.3">
      <c r="B22" s="347"/>
    </row>
    <row r="23" spans="2:3" x14ac:dyDescent="0.3">
      <c r="B23" s="346"/>
    </row>
  </sheetData>
  <sheetProtection algorithmName="SHA-512" hashValue="btuew5iIBI0iD33cdVAIKgm39h8li59Aot8IFXgz1Hyd0BgpcigB4oNMaZZrSvbludDB/VWDBXjb4dRcCOSitA==" saltValue="5VxC2tT6jNG6ljHbdQd2Cw==" spinCount="100000" sheet="1" objects="1" scenarios="1"/>
  <customSheetViews>
    <customSheetView guid="{A8E9A491-4491-4848-9959-58297999E6F5}" scale="85" showGridLines="0">
      <selection activeCell="F15" sqref="F15:F16"/>
      <pageMargins left="0" right="0" top="0" bottom="0" header="0" footer="0"/>
      <pageSetup orientation="portrait" r:id="rId1"/>
    </customSheetView>
    <customSheetView guid="{CBE97499-8DE4-4834-9D9F-4D852DB24A20}" scale="85" showGridLines="0">
      <selection activeCell="F15" sqref="F15:F16"/>
      <pageMargins left="0" right="0" top="0" bottom="0" header="0" footer="0"/>
      <pageSetup orientation="portrait" r:id="rId2"/>
    </customSheetView>
    <customSheetView guid="{BAC701C4-B534-4ABA-907B-FE30A3505B8B}" scale="85" showGridLines="0">
      <selection activeCell="F15" sqref="F15:F16"/>
      <pageMargins left="0" right="0" top="0" bottom="0" header="0" footer="0"/>
      <pageSetup orientation="portrait" r:id="rId3"/>
    </customSheetView>
    <customSheetView guid="{3F555A8F-379C-4D2D-833A-FF346FE5F044}" scale="85" showGridLines="0">
      <selection activeCell="F15" sqref="F15:F16"/>
      <pageMargins left="0" right="0" top="0" bottom="0" header="0" footer="0"/>
      <pageSetup orientation="portrait" r:id="rId4"/>
    </customSheetView>
    <customSheetView guid="{61CEA325-629A-4670-A66B-4314E031BBF1}" scale="85" showGridLines="0">
      <selection activeCell="F15" sqref="F15:F16"/>
      <pageMargins left="0" right="0" top="0" bottom="0" header="0" footer="0"/>
      <pageSetup orientation="portrait" r:id="rId5"/>
    </customSheetView>
  </customSheetViews>
  <mergeCells count="8">
    <mergeCell ref="B19:C19"/>
    <mergeCell ref="B20:C20"/>
    <mergeCell ref="B13:C13"/>
    <mergeCell ref="B14:C14"/>
    <mergeCell ref="B15:C15"/>
    <mergeCell ref="B16:C16"/>
    <mergeCell ref="B17:C17"/>
    <mergeCell ref="B18:C18"/>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49"/>
  <sheetViews>
    <sheetView showGridLines="0" topLeftCell="A37" zoomScaleNormal="100" workbookViewId="0">
      <selection activeCell="B29" sqref="B29"/>
    </sheetView>
  </sheetViews>
  <sheetFormatPr defaultColWidth="8.6640625" defaultRowHeight="14.4" x14ac:dyDescent="0.3"/>
  <cols>
    <col min="2" max="2" width="55.33203125" customWidth="1"/>
    <col min="3" max="3" width="44.33203125" customWidth="1"/>
    <col min="4" max="4" width="32.109375" customWidth="1"/>
    <col min="5" max="5" width="46.33203125" customWidth="1"/>
  </cols>
  <sheetData>
    <row r="1" spans="1:5" x14ac:dyDescent="0.3">
      <c r="A1" s="347"/>
    </row>
    <row r="2" spans="1:5" x14ac:dyDescent="0.3">
      <c r="A2" s="96" t="s">
        <v>19</v>
      </c>
    </row>
    <row r="4" spans="1:5" s="6" customFormat="1" x14ac:dyDescent="0.3">
      <c r="A4" s="6" t="s">
        <v>20</v>
      </c>
    </row>
    <row r="6" spans="1:5" x14ac:dyDescent="0.3">
      <c r="B6" s="49" t="s">
        <v>21</v>
      </c>
      <c r="C6" s="48" t="s">
        <v>22</v>
      </c>
    </row>
    <row r="7" spans="1:5" ht="28.8" x14ac:dyDescent="0.3">
      <c r="B7" s="29" t="s">
        <v>23</v>
      </c>
      <c r="C7" s="48" t="s">
        <v>24</v>
      </c>
    </row>
    <row r="8" spans="1:5" x14ac:dyDescent="0.3">
      <c r="B8" s="49" t="s">
        <v>25</v>
      </c>
      <c r="C8" s="109" t="s">
        <v>26</v>
      </c>
    </row>
    <row r="9" spans="1:5" x14ac:dyDescent="0.3">
      <c r="B9" s="49" t="s">
        <v>27</v>
      </c>
      <c r="C9" s="48"/>
    </row>
    <row r="11" spans="1:5" s="6" customFormat="1" x14ac:dyDescent="0.3">
      <c r="A11" s="6" t="s">
        <v>28</v>
      </c>
    </row>
    <row r="13" spans="1:5" ht="45" customHeight="1" x14ac:dyDescent="0.3">
      <c r="B13" s="77" t="s">
        <v>29</v>
      </c>
      <c r="C13" s="292" t="s">
        <v>30</v>
      </c>
      <c r="D13" s="597" t="s">
        <v>31</v>
      </c>
      <c r="E13" s="597"/>
    </row>
    <row r="14" spans="1:5" ht="63" customHeight="1" x14ac:dyDescent="0.3">
      <c r="B14" s="77" t="s">
        <v>32</v>
      </c>
      <c r="C14" s="24" t="s">
        <v>33</v>
      </c>
      <c r="D14" s="598" t="s">
        <v>34</v>
      </c>
      <c r="E14" s="598"/>
    </row>
    <row r="15" spans="1:5" x14ac:dyDescent="0.3">
      <c r="B15" s="49" t="s">
        <v>35</v>
      </c>
      <c r="C15" s="24" t="s">
        <v>36</v>
      </c>
    </row>
    <row r="16" spans="1:5" x14ac:dyDescent="0.3">
      <c r="B16" s="371"/>
      <c r="C16" s="372"/>
    </row>
    <row r="18" spans="1:5" s="6" customFormat="1" x14ac:dyDescent="0.3">
      <c r="A18" s="6" t="s">
        <v>37</v>
      </c>
    </row>
    <row r="20" spans="1:5" ht="29.1" customHeight="1" x14ac:dyDescent="0.3">
      <c r="B20" s="77" t="s">
        <v>38</v>
      </c>
      <c r="C20" s="72" t="s">
        <v>39</v>
      </c>
      <c r="D20" s="597" t="s">
        <v>40</v>
      </c>
      <c r="E20" s="597"/>
    </row>
    <row r="21" spans="1:5" x14ac:dyDescent="0.3">
      <c r="B21" s="24" t="s">
        <v>41</v>
      </c>
      <c r="C21" s="10"/>
    </row>
    <row r="22" spans="1:5" x14ac:dyDescent="0.3">
      <c r="B22" s="24" t="s">
        <v>42</v>
      </c>
      <c r="C22" s="10"/>
    </row>
    <row r="23" spans="1:5" x14ac:dyDescent="0.3">
      <c r="B23" s="24" t="s">
        <v>43</v>
      </c>
      <c r="C23" s="10"/>
    </row>
    <row r="24" spans="1:5" x14ac:dyDescent="0.3">
      <c r="B24" s="132" t="s">
        <v>44</v>
      </c>
      <c r="C24" s="132"/>
    </row>
    <row r="26" spans="1:5" s="6" customFormat="1" x14ac:dyDescent="0.3">
      <c r="A26" s="6" t="s">
        <v>45</v>
      </c>
    </row>
    <row r="28" spans="1:5" ht="29.1" customHeight="1" x14ac:dyDescent="0.3">
      <c r="B28" s="77" t="s">
        <v>46</v>
      </c>
      <c r="C28" s="72" t="s">
        <v>47</v>
      </c>
      <c r="D28" s="598" t="s">
        <v>48</v>
      </c>
      <c r="E28" s="598"/>
    </row>
    <row r="29" spans="1:5" ht="14.4" customHeight="1" x14ac:dyDescent="0.3">
      <c r="B29" s="24" t="s">
        <v>36</v>
      </c>
      <c r="C29" s="10" t="s">
        <v>49</v>
      </c>
      <c r="D29" s="598" t="s">
        <v>50</v>
      </c>
      <c r="E29" s="598"/>
    </row>
    <row r="30" spans="1:5" x14ac:dyDescent="0.3">
      <c r="B30" s="24" t="s">
        <v>51</v>
      </c>
      <c r="C30" s="10" t="s">
        <v>52</v>
      </c>
      <c r="D30" s="598"/>
      <c r="E30" s="598"/>
    </row>
    <row r="31" spans="1:5" x14ac:dyDescent="0.3">
      <c r="B31" s="24" t="s">
        <v>51</v>
      </c>
      <c r="C31" s="10" t="s">
        <v>52</v>
      </c>
      <c r="D31" s="598"/>
      <c r="E31" s="598"/>
    </row>
    <row r="32" spans="1:5" x14ac:dyDescent="0.3">
      <c r="B32" s="24" t="s">
        <v>51</v>
      </c>
      <c r="C32" s="10" t="s">
        <v>52</v>
      </c>
      <c r="D32" s="598"/>
      <c r="E32" s="598"/>
    </row>
    <row r="33" spans="1:5" x14ac:dyDescent="0.3">
      <c r="B33" s="132" t="s">
        <v>44</v>
      </c>
      <c r="C33" s="132"/>
      <c r="D33" s="598"/>
      <c r="E33" s="598"/>
    </row>
    <row r="35" spans="1:5" s="6" customFormat="1" x14ac:dyDescent="0.3">
      <c r="A35" s="6" t="s">
        <v>53</v>
      </c>
    </row>
    <row r="36" spans="1:5" x14ac:dyDescent="0.3">
      <c r="B36" s="96" t="s">
        <v>54</v>
      </c>
    </row>
    <row r="37" spans="1:5" x14ac:dyDescent="0.3">
      <c r="B37" s="96"/>
    </row>
    <row r="38" spans="1:5" ht="28.8" x14ac:dyDescent="0.3">
      <c r="B38" s="77" t="s">
        <v>46</v>
      </c>
      <c r="C38" s="148" t="s">
        <v>55</v>
      </c>
    </row>
    <row r="39" spans="1:5" ht="14.4" customHeight="1" x14ac:dyDescent="0.3">
      <c r="B39" s="24" t="s">
        <v>56</v>
      </c>
      <c r="C39" s="10" t="s">
        <v>52</v>
      </c>
    </row>
    <row r="40" spans="1:5" ht="14.4" customHeight="1" x14ac:dyDescent="0.3">
      <c r="B40" s="24" t="s">
        <v>56</v>
      </c>
      <c r="C40" s="10" t="s">
        <v>52</v>
      </c>
    </row>
    <row r="41" spans="1:5" ht="14.4" customHeight="1" x14ac:dyDescent="0.3">
      <c r="B41" s="24" t="s">
        <v>56</v>
      </c>
      <c r="C41" s="10" t="s">
        <v>52</v>
      </c>
    </row>
    <row r="42" spans="1:5" x14ac:dyDescent="0.3">
      <c r="B42" s="132" t="s">
        <v>44</v>
      </c>
      <c r="C42" s="49"/>
    </row>
    <row r="44" spans="1:5" s="6" customFormat="1" x14ac:dyDescent="0.3">
      <c r="A44" s="6" t="s">
        <v>57</v>
      </c>
    </row>
    <row r="45" spans="1:5" x14ac:dyDescent="0.3">
      <c r="B45" s="96" t="s">
        <v>58</v>
      </c>
    </row>
    <row r="46" spans="1:5" x14ac:dyDescent="0.3">
      <c r="B46" s="96"/>
    </row>
    <row r="47" spans="1:5" x14ac:dyDescent="0.3">
      <c r="C47" s="103" t="s">
        <v>59</v>
      </c>
      <c r="D47" s="103" t="s">
        <v>60</v>
      </c>
    </row>
    <row r="48" spans="1:5" x14ac:dyDescent="0.3">
      <c r="B48" s="134" t="s">
        <v>61</v>
      </c>
      <c r="C48" s="495" t="s">
        <v>62</v>
      </c>
      <c r="D48" s="133">
        <v>2022</v>
      </c>
    </row>
    <row r="49" spans="2:4" x14ac:dyDescent="0.3">
      <c r="B49" s="134" t="s">
        <v>63</v>
      </c>
      <c r="C49" s="133" t="s">
        <v>64</v>
      </c>
      <c r="D49" s="133">
        <v>2024</v>
      </c>
    </row>
  </sheetData>
  <dataConsolidate/>
  <customSheetViews>
    <customSheetView guid="{A8E9A491-4491-4848-9959-58297999E6F5}" showGridLines="0">
      <selection activeCell="C44" sqref="C44"/>
      <pageMargins left="0" right="0" top="0" bottom="0" header="0" footer="0"/>
      <pageSetup orientation="portrait" r:id="rId1"/>
    </customSheetView>
    <customSheetView guid="{CBE97499-8DE4-4834-9D9F-4D852DB24A20}" showGridLines="0" topLeftCell="A19">
      <selection activeCell="C15" sqref="C15"/>
      <pageMargins left="0" right="0" top="0" bottom="0" header="0" footer="0"/>
      <pageSetup orientation="portrait" r:id="rId2"/>
    </customSheetView>
    <customSheetView guid="{BAC701C4-B534-4ABA-907B-FE30A3505B8B}" showGridLines="0">
      <selection activeCell="B38" sqref="B38"/>
      <pageMargins left="0" right="0" top="0" bottom="0" header="0" footer="0"/>
      <pageSetup orientation="portrait" r:id="rId3"/>
    </customSheetView>
    <customSheetView guid="{3F555A8F-379C-4D2D-833A-FF346FE5F044}" showGridLines="0" topLeftCell="A19">
      <selection activeCell="C15" sqref="C15"/>
      <pageMargins left="0" right="0" top="0" bottom="0" header="0" footer="0"/>
      <pageSetup orientation="portrait" r:id="rId4"/>
    </customSheetView>
    <customSheetView guid="{61CEA325-629A-4670-A66B-4314E031BBF1}" showGridLines="0">
      <selection activeCell="B38" sqref="B38"/>
      <pageMargins left="0" right="0" top="0" bottom="0" header="0" footer="0"/>
      <pageSetup orientation="portrait" r:id="rId5"/>
    </customSheetView>
  </customSheetViews>
  <mergeCells count="5">
    <mergeCell ref="D13:E13"/>
    <mergeCell ref="D29:E33"/>
    <mergeCell ref="D28:E28"/>
    <mergeCell ref="D20:E20"/>
    <mergeCell ref="D14:E14"/>
  </mergeCell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Lists!$D$5:$D$7</xm:f>
          </x14:formula1>
          <xm:sqref>C14</xm:sqref>
        </x14:dataValidation>
        <x14:dataValidation type="list" allowBlank="1" showInputMessage="1" showErrorMessage="1" xr:uid="{00000000-0002-0000-0200-000001000000}">
          <x14:formula1>
            <xm:f>Lists!$A$5:$A$7</xm:f>
          </x14:formula1>
          <xm:sqref>C39:C41 C29:C32</xm:sqref>
        </x14:dataValidation>
        <x14:dataValidation type="list" allowBlank="1" showInputMessage="1" showErrorMessage="1" xr:uid="{00000000-0002-0000-0200-000002000000}">
          <x14:formula1>
            <xm:f>Lists!$M$5:$M$11</xm:f>
          </x14:formula1>
          <xm:sqref>C15</xm:sqref>
        </x14:dataValidation>
        <x14:dataValidation type="list" allowBlank="1" showInputMessage="1" showErrorMessage="1" xr:uid="{00000000-0002-0000-0200-000003000000}">
          <x14:formula1>
            <xm:f>Lists!$L$5:$L$19</xm:f>
          </x14:formula1>
          <xm:sqref>B29:B32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1" tint="0.14999847407452621"/>
  </sheetPr>
  <dimension ref="A1:U278"/>
  <sheetViews>
    <sheetView showGridLines="0" topLeftCell="A224" zoomScaleNormal="100" workbookViewId="0">
      <selection activeCell="A197" sqref="A197"/>
    </sheetView>
  </sheetViews>
  <sheetFormatPr defaultColWidth="10.88671875" defaultRowHeight="14.4" x14ac:dyDescent="0.3"/>
  <cols>
    <col min="1" max="1" width="64.44140625" style="5" customWidth="1"/>
    <col min="2" max="2" width="36.33203125" style="5" bestFit="1" customWidth="1"/>
    <col min="3" max="3" width="19.5546875" style="5" customWidth="1"/>
    <col min="4" max="4" width="31.88671875" style="5" customWidth="1"/>
    <col min="5" max="6" width="23.44140625" style="5" customWidth="1"/>
    <col min="7" max="7" width="19.5546875" style="193" customWidth="1"/>
    <col min="8" max="8" width="22.6640625" style="5" customWidth="1"/>
    <col min="9" max="9" width="20.44140625" style="5" customWidth="1"/>
    <col min="10" max="10" width="16.6640625" style="5" customWidth="1"/>
    <col min="11" max="11" width="14.44140625" style="5" customWidth="1"/>
    <col min="12" max="12" width="14.33203125" style="5" customWidth="1"/>
    <col min="13" max="20" width="10.88671875" style="5"/>
    <col min="21" max="21" width="6.5546875" style="5" customWidth="1"/>
    <col min="22" max="22" width="255.6640625" style="5" bestFit="1" customWidth="1"/>
    <col min="23" max="16384" width="10.88671875" style="5"/>
  </cols>
  <sheetData>
    <row r="1" spans="1:16" x14ac:dyDescent="0.3">
      <c r="A1" s="347"/>
    </row>
    <row r="2" spans="1:16" s="174" customFormat="1" x14ac:dyDescent="0.3">
      <c r="A2" s="172" t="s">
        <v>65</v>
      </c>
      <c r="B2" s="173" t="s">
        <v>66</v>
      </c>
      <c r="C2" s="173" t="s">
        <v>66</v>
      </c>
      <c r="D2" s="173" t="s">
        <v>66</v>
      </c>
      <c r="E2" s="173" t="s">
        <v>66</v>
      </c>
      <c r="F2" s="173" t="s">
        <v>66</v>
      </c>
      <c r="G2" s="173" t="s">
        <v>66</v>
      </c>
      <c r="H2" s="173" t="s">
        <v>66</v>
      </c>
      <c r="I2" s="173" t="s">
        <v>66</v>
      </c>
      <c r="J2" s="173" t="s">
        <v>66</v>
      </c>
      <c r="K2" s="173" t="s">
        <v>66</v>
      </c>
      <c r="L2" s="173" t="s">
        <v>66</v>
      </c>
      <c r="M2" s="173" t="s">
        <v>66</v>
      </c>
      <c r="N2" s="173" t="s">
        <v>66</v>
      </c>
      <c r="O2" s="173" t="s">
        <v>66</v>
      </c>
      <c r="P2" s="173" t="s">
        <v>66</v>
      </c>
    </row>
    <row r="3" spans="1:16" x14ac:dyDescent="0.3">
      <c r="A3" s="158"/>
      <c r="B3" s="158"/>
      <c r="C3" s="158"/>
      <c r="D3" s="158"/>
      <c r="E3" s="158"/>
      <c r="F3" s="158"/>
      <c r="G3" s="158"/>
      <c r="H3" s="158"/>
      <c r="I3" s="158"/>
      <c r="J3" s="158"/>
      <c r="K3" s="158"/>
      <c r="L3" s="158"/>
      <c r="M3" s="158"/>
      <c r="N3" s="158"/>
      <c r="O3" s="158"/>
      <c r="P3" s="158"/>
    </row>
    <row r="4" spans="1:16" x14ac:dyDescent="0.3">
      <c r="A4" s="438" t="s">
        <v>67</v>
      </c>
      <c r="B4" s="378" t="s">
        <v>68</v>
      </c>
      <c r="C4" s="163" t="s">
        <v>69</v>
      </c>
      <c r="D4" s="163" t="s">
        <v>70</v>
      </c>
      <c r="E4" s="163" t="s">
        <v>71</v>
      </c>
      <c r="F4" s="163" t="s">
        <v>72</v>
      </c>
      <c r="G4" s="395" t="s">
        <v>73</v>
      </c>
      <c r="H4" s="162"/>
      <c r="I4" s="162"/>
      <c r="J4" s="158"/>
      <c r="K4" s="158"/>
      <c r="L4" s="158"/>
      <c r="M4" s="158"/>
      <c r="N4" s="158"/>
      <c r="O4" s="158"/>
      <c r="P4" s="158"/>
    </row>
    <row r="5" spans="1:16" x14ac:dyDescent="0.3">
      <c r="A5" s="439" t="s">
        <v>74</v>
      </c>
      <c r="B5" s="440">
        <v>1</v>
      </c>
      <c r="C5" s="380">
        <v>1E-3</v>
      </c>
      <c r="D5" s="381">
        <v>9.9999999999999995E-7</v>
      </c>
      <c r="E5" s="381">
        <v>2.2045860000000001E-3</v>
      </c>
      <c r="F5" s="382">
        <v>1.1023109999999999E-6</v>
      </c>
      <c r="G5" s="383">
        <v>9.8420639999999996E-7</v>
      </c>
      <c r="H5" s="384"/>
      <c r="I5" s="162"/>
      <c r="J5" s="158"/>
      <c r="K5" s="158"/>
      <c r="L5" s="158"/>
      <c r="M5" s="158"/>
      <c r="N5" s="158"/>
      <c r="O5" s="158"/>
      <c r="P5" s="158"/>
    </row>
    <row r="6" spans="1:16" x14ac:dyDescent="0.3">
      <c r="A6" s="441" t="s">
        <v>75</v>
      </c>
      <c r="B6" s="440">
        <v>1000</v>
      </c>
      <c r="C6" s="385">
        <v>1</v>
      </c>
      <c r="D6" s="380">
        <v>1E-3</v>
      </c>
      <c r="E6" s="380">
        <v>2.2045856000000001</v>
      </c>
      <c r="F6" s="386">
        <v>1.1023109999999999E-3</v>
      </c>
      <c r="G6" s="387">
        <v>9.8420639999999998E-4</v>
      </c>
      <c r="H6" s="388"/>
      <c r="I6" s="162"/>
      <c r="J6" s="158"/>
      <c r="K6" s="158"/>
      <c r="L6" s="158"/>
      <c r="M6" s="158"/>
      <c r="N6" s="158"/>
      <c r="O6" s="158"/>
      <c r="P6" s="158"/>
    </row>
    <row r="7" spans="1:16" x14ac:dyDescent="0.3">
      <c r="A7" s="441" t="s">
        <v>76</v>
      </c>
      <c r="B7" s="440">
        <v>1000000</v>
      </c>
      <c r="C7" s="385">
        <v>1000</v>
      </c>
      <c r="D7" s="385">
        <v>1</v>
      </c>
      <c r="E7" s="385">
        <v>2204.5859999999998</v>
      </c>
      <c r="F7" s="380">
        <v>1.102311</v>
      </c>
      <c r="G7" s="389">
        <v>0.98420640000000004</v>
      </c>
      <c r="H7" s="390"/>
      <c r="I7" s="162"/>
      <c r="J7" s="158"/>
      <c r="K7" s="158"/>
      <c r="L7" s="158"/>
      <c r="M7" s="158"/>
      <c r="N7" s="158"/>
      <c r="O7" s="158"/>
      <c r="P7" s="158"/>
    </row>
    <row r="8" spans="1:16" x14ac:dyDescent="0.3">
      <c r="A8" s="441" t="s">
        <v>77</v>
      </c>
      <c r="B8" s="442">
        <v>453.5924</v>
      </c>
      <c r="C8" s="380">
        <v>0.45359237000000002</v>
      </c>
      <c r="D8" s="391">
        <v>4.5359236999999999E-4</v>
      </c>
      <c r="E8" s="385">
        <v>1</v>
      </c>
      <c r="F8" s="386">
        <v>5.0000000000000001E-4</v>
      </c>
      <c r="G8" s="392">
        <v>4.4643599999999998E-4</v>
      </c>
      <c r="H8" s="162"/>
      <c r="I8" s="162"/>
      <c r="J8" s="158"/>
      <c r="K8" s="158"/>
      <c r="L8" s="158"/>
      <c r="M8" s="158"/>
      <c r="N8" s="158"/>
      <c r="O8" s="158"/>
      <c r="P8" s="158"/>
    </row>
    <row r="9" spans="1:16" x14ac:dyDescent="0.3">
      <c r="A9" s="441" t="s">
        <v>78</v>
      </c>
      <c r="B9" s="440">
        <v>907184.7</v>
      </c>
      <c r="C9" s="393">
        <v>907.18474000000003</v>
      </c>
      <c r="D9" s="380">
        <v>0.90718469999999996</v>
      </c>
      <c r="E9" s="385">
        <v>2000</v>
      </c>
      <c r="F9" s="385">
        <v>1</v>
      </c>
      <c r="G9" s="389">
        <v>0.89285729999999996</v>
      </c>
      <c r="H9" s="162"/>
      <c r="I9" s="162"/>
      <c r="J9" s="158"/>
      <c r="K9" s="158"/>
      <c r="L9" s="158"/>
      <c r="M9" s="158"/>
      <c r="N9" s="158"/>
      <c r="O9" s="158"/>
      <c r="P9" s="158"/>
    </row>
    <row r="10" spans="1:16" x14ac:dyDescent="0.3">
      <c r="A10" s="211" t="s">
        <v>79</v>
      </c>
      <c r="B10" s="394">
        <v>1016047</v>
      </c>
      <c r="C10" s="394">
        <v>1016.047</v>
      </c>
      <c r="D10" s="389">
        <v>1.0160469999999999</v>
      </c>
      <c r="E10" s="394">
        <v>2240.0002010615831</v>
      </c>
      <c r="F10" s="389">
        <v>1.1199997795378012</v>
      </c>
      <c r="G10" s="394">
        <v>1</v>
      </c>
      <c r="H10" s="162"/>
      <c r="I10" s="162"/>
      <c r="J10" s="158"/>
      <c r="K10" s="158"/>
      <c r="L10" s="158"/>
      <c r="M10" s="158"/>
      <c r="N10" s="158"/>
      <c r="O10" s="158"/>
      <c r="P10" s="158"/>
    </row>
    <row r="11" spans="1:16" x14ac:dyDescent="0.3">
      <c r="A11" s="443"/>
      <c r="B11" s="384"/>
      <c r="C11" s="384"/>
      <c r="D11"/>
      <c r="E11" s="384"/>
      <c r="F11" s="384"/>
      <c r="G11" s="384"/>
      <c r="H11" s="384"/>
      <c r="I11" s="162"/>
      <c r="J11" s="158"/>
      <c r="K11" s="158"/>
      <c r="L11" s="158"/>
      <c r="M11" s="158"/>
      <c r="N11" s="158"/>
      <c r="O11" s="158"/>
      <c r="P11" s="158"/>
    </row>
    <row r="12" spans="1:16" x14ac:dyDescent="0.3">
      <c r="A12" s="443"/>
      <c r="B12" s="384"/>
      <c r="C12" s="384"/>
      <c r="D12" s="384"/>
      <c r="E12" s="384"/>
      <c r="F12" s="384"/>
      <c r="G12" s="384"/>
      <c r="H12" s="384"/>
      <c r="I12" s="162"/>
      <c r="J12" s="158"/>
      <c r="K12" s="158"/>
      <c r="L12" s="158"/>
      <c r="M12" s="158"/>
      <c r="N12" s="158"/>
      <c r="O12" s="158"/>
      <c r="P12" s="158"/>
    </row>
    <row r="13" spans="1:16" x14ac:dyDescent="0.3">
      <c r="A13" s="444" t="s">
        <v>80</v>
      </c>
      <c r="B13" s="378" t="s">
        <v>81</v>
      </c>
      <c r="C13" s="378" t="s">
        <v>82</v>
      </c>
      <c r="D13" s="378" t="s">
        <v>83</v>
      </c>
      <c r="E13" s="378" t="s">
        <v>84</v>
      </c>
      <c r="F13" s="101" t="s">
        <v>85</v>
      </c>
      <c r="G13" s="378" t="s">
        <v>86</v>
      </c>
      <c r="H13" s="395" t="s">
        <v>87</v>
      </c>
      <c r="I13" s="162"/>
      <c r="J13" s="158"/>
      <c r="K13" s="158"/>
      <c r="L13" s="158"/>
      <c r="M13" s="158"/>
      <c r="N13" s="158"/>
      <c r="O13" s="158"/>
      <c r="P13" s="158"/>
    </row>
    <row r="14" spans="1:16" x14ac:dyDescent="0.3">
      <c r="A14" s="211" t="s">
        <v>88</v>
      </c>
      <c r="B14" s="394">
        <v>1</v>
      </c>
      <c r="C14" s="394">
        <v>1000000</v>
      </c>
      <c r="D14" s="394">
        <v>1000</v>
      </c>
      <c r="E14" s="389">
        <v>263.15789999999998</v>
      </c>
      <c r="F14" s="218">
        <v>219.96879999999999</v>
      </c>
      <c r="G14" s="389">
        <v>35.335689045936398</v>
      </c>
      <c r="H14" s="396">
        <v>6.2898110000000003</v>
      </c>
      <c r="I14" s="162"/>
      <c r="J14" s="158"/>
      <c r="K14" s="158"/>
      <c r="L14" s="158"/>
      <c r="M14" s="158"/>
      <c r="N14" s="158"/>
      <c r="O14" s="158"/>
      <c r="P14" s="158"/>
    </row>
    <row r="15" spans="1:16" x14ac:dyDescent="0.3">
      <c r="A15" s="211" t="s">
        <v>89</v>
      </c>
      <c r="B15" s="398">
        <v>9.9999999999999995E-7</v>
      </c>
      <c r="C15" s="394">
        <v>1</v>
      </c>
      <c r="D15" s="397">
        <v>1E-3</v>
      </c>
      <c r="E15" s="387">
        <v>2.6315790000000001E-4</v>
      </c>
      <c r="F15" s="392">
        <v>2.1996879999999999E-4</v>
      </c>
      <c r="G15" s="398">
        <v>3.533569E-5</v>
      </c>
      <c r="H15" s="399">
        <v>6.2898110000000004E-6</v>
      </c>
      <c r="I15" s="162"/>
      <c r="J15" s="158"/>
      <c r="K15" s="158"/>
      <c r="L15" s="158"/>
      <c r="M15" s="158"/>
      <c r="N15" s="158"/>
      <c r="O15" s="158"/>
      <c r="P15" s="158"/>
    </row>
    <row r="16" spans="1:16" x14ac:dyDescent="0.3">
      <c r="A16" s="211" t="s">
        <v>90</v>
      </c>
      <c r="B16" s="397">
        <v>1E-3</v>
      </c>
      <c r="C16" s="394">
        <v>1000</v>
      </c>
      <c r="D16" s="394">
        <v>1</v>
      </c>
      <c r="E16" s="397">
        <v>0.2631579</v>
      </c>
      <c r="F16" s="400">
        <v>0.21996879999999999</v>
      </c>
      <c r="G16" s="397">
        <v>3.5335689045936397E-2</v>
      </c>
      <c r="H16" s="401">
        <v>6.2898110000000002E-3</v>
      </c>
      <c r="I16" s="162"/>
      <c r="J16" s="158"/>
      <c r="K16" s="158"/>
      <c r="L16" s="158"/>
      <c r="M16" s="158"/>
      <c r="N16" s="158"/>
      <c r="O16" s="158"/>
      <c r="P16" s="158"/>
    </row>
    <row r="17" spans="1:16" x14ac:dyDescent="0.3">
      <c r="A17" s="211" t="s">
        <v>91</v>
      </c>
      <c r="B17" s="445">
        <v>3.7854E-3</v>
      </c>
      <c r="C17" s="394">
        <v>3785.4</v>
      </c>
      <c r="D17" s="397">
        <v>3.7854000000000001</v>
      </c>
      <c r="E17" s="394">
        <v>1</v>
      </c>
      <c r="F17" s="400">
        <v>0.83266980000000002</v>
      </c>
      <c r="G17" s="397">
        <v>0.13375971731448763</v>
      </c>
      <c r="H17" s="401">
        <v>2.3809523809523801E-2</v>
      </c>
      <c r="I17" s="162"/>
      <c r="J17" s="158"/>
      <c r="K17" s="158"/>
      <c r="L17" s="158"/>
      <c r="M17" s="158"/>
      <c r="N17" s="158"/>
      <c r="O17" s="158"/>
      <c r="P17" s="158"/>
    </row>
    <row r="18" spans="1:16" x14ac:dyDescent="0.3">
      <c r="A18" s="211" t="s">
        <v>92</v>
      </c>
      <c r="B18" s="445">
        <v>4.5461E-3</v>
      </c>
      <c r="C18" s="394">
        <v>4546.1000000000004</v>
      </c>
      <c r="D18" s="397">
        <v>4.5461</v>
      </c>
      <c r="E18" s="389">
        <v>1.2009563058065198</v>
      </c>
      <c r="F18" s="402">
        <v>1</v>
      </c>
      <c r="G18" s="397">
        <v>0.16054399999999999</v>
      </c>
      <c r="H18" s="401">
        <v>2.8594109999999999E-2</v>
      </c>
      <c r="I18" s="162"/>
      <c r="J18" s="158"/>
      <c r="K18" s="158"/>
      <c r="L18" s="158"/>
      <c r="M18" s="158"/>
      <c r="N18" s="158"/>
      <c r="O18" s="158"/>
      <c r="P18" s="158"/>
    </row>
    <row r="19" spans="1:16" x14ac:dyDescent="0.3">
      <c r="A19" s="211" t="s">
        <v>93</v>
      </c>
      <c r="B19" s="445">
        <v>2.8316850000000001E-2</v>
      </c>
      <c r="C19" s="394">
        <v>28316.850000000002</v>
      </c>
      <c r="D19" s="397">
        <v>28.316850000000002</v>
      </c>
      <c r="E19" s="397">
        <v>7.4805436677761934</v>
      </c>
      <c r="F19" s="400">
        <v>6.2288230000000002</v>
      </c>
      <c r="G19" s="394">
        <v>1</v>
      </c>
      <c r="H19" s="396">
        <v>0.17800160000000001</v>
      </c>
      <c r="I19" s="162"/>
      <c r="J19" s="158"/>
      <c r="K19" s="158"/>
      <c r="L19" s="158"/>
      <c r="M19" s="158"/>
      <c r="N19" s="158"/>
      <c r="O19" s="158"/>
      <c r="P19" s="158"/>
    </row>
    <row r="20" spans="1:16" x14ac:dyDescent="0.3">
      <c r="A20" s="211" t="s">
        <v>94</v>
      </c>
      <c r="B20" s="445">
        <v>0.1589873</v>
      </c>
      <c r="C20" s="402">
        <v>158987.30000000002</v>
      </c>
      <c r="D20" s="389">
        <v>158.9873</v>
      </c>
      <c r="E20" s="397">
        <v>42</v>
      </c>
      <c r="F20" s="400">
        <v>34.972239999999999</v>
      </c>
      <c r="G20" s="397">
        <v>5.6179257950530035</v>
      </c>
      <c r="H20" s="395">
        <v>1</v>
      </c>
      <c r="I20" s="162"/>
      <c r="J20" s="158"/>
      <c r="K20" s="158"/>
      <c r="L20" s="158"/>
      <c r="M20" s="158"/>
      <c r="N20" s="158"/>
      <c r="O20" s="158"/>
      <c r="P20" s="158"/>
    </row>
    <row r="21" spans="1:16" x14ac:dyDescent="0.3">
      <c r="A21" s="158"/>
      <c r="B21" s="384"/>
      <c r="C21" s="384"/>
      <c r="D21" s="384"/>
      <c r="E21" s="384"/>
      <c r="F21" s="384"/>
      <c r="G21" s="384"/>
      <c r="H21" s="403"/>
      <c r="I21" s="162"/>
      <c r="J21" s="158"/>
      <c r="K21" s="158"/>
      <c r="L21" s="158"/>
      <c r="M21" s="158"/>
      <c r="N21" s="158"/>
      <c r="O21" s="158"/>
      <c r="P21" s="158"/>
    </row>
    <row r="22" spans="1:16" x14ac:dyDescent="0.3">
      <c r="A22" s="443"/>
      <c r="B22" s="384"/>
      <c r="C22" s="384"/>
      <c r="D22" s="384"/>
      <c r="E22" s="384"/>
      <c r="F22" s="384"/>
      <c r="G22" s="384"/>
      <c r="H22" s="384"/>
      <c r="I22" s="162"/>
      <c r="J22" s="158"/>
      <c r="K22" s="158"/>
      <c r="L22" s="158"/>
      <c r="M22" s="158"/>
      <c r="N22" s="158"/>
      <c r="O22" s="158"/>
      <c r="P22" s="158"/>
    </row>
    <row r="23" spans="1:16" x14ac:dyDescent="0.3">
      <c r="A23" s="444" t="s">
        <v>95</v>
      </c>
      <c r="B23" s="163" t="s">
        <v>96</v>
      </c>
      <c r="C23" s="163" t="s">
        <v>97</v>
      </c>
      <c r="D23" s="163" t="s">
        <v>98</v>
      </c>
      <c r="E23" s="101" t="s">
        <v>99</v>
      </c>
      <c r="F23" s="163" t="s">
        <v>100</v>
      </c>
      <c r="G23" s="163" t="s">
        <v>101</v>
      </c>
      <c r="H23" s="101" t="s">
        <v>102</v>
      </c>
      <c r="I23" s="101" t="s">
        <v>103</v>
      </c>
      <c r="J23" s="163" t="s">
        <v>104</v>
      </c>
      <c r="K23" s="404" t="s">
        <v>105</v>
      </c>
      <c r="L23" s="378" t="s">
        <v>106</v>
      </c>
      <c r="M23" s="158"/>
      <c r="N23" s="158"/>
      <c r="O23" s="158"/>
      <c r="P23" s="158"/>
    </row>
    <row r="24" spans="1:16" x14ac:dyDescent="0.3">
      <c r="A24" s="175" t="s">
        <v>107</v>
      </c>
      <c r="B24" s="385">
        <v>1</v>
      </c>
      <c r="C24" s="380">
        <v>1E-3</v>
      </c>
      <c r="D24" s="381">
        <v>9.9999999999999995E-7</v>
      </c>
      <c r="E24" s="405">
        <v>1.0000000000000001E-9</v>
      </c>
      <c r="F24" s="391">
        <v>2.7799999999999998E-4</v>
      </c>
      <c r="G24" s="406">
        <v>2.7799999999999997E-7</v>
      </c>
      <c r="H24" s="405">
        <v>2.7800000000000002E-10</v>
      </c>
      <c r="I24" s="405">
        <v>2.7799999999999998E-13</v>
      </c>
      <c r="J24" s="381">
        <v>9.4781710000000003E-4</v>
      </c>
      <c r="K24" s="407">
        <v>9.4781710000000005E-10</v>
      </c>
      <c r="L24" s="408">
        <v>2.3884589999999999E-4</v>
      </c>
      <c r="M24" s="158"/>
      <c r="N24" s="158"/>
      <c r="O24" s="158"/>
      <c r="P24" s="158"/>
    </row>
    <row r="25" spans="1:16" x14ac:dyDescent="0.3">
      <c r="A25" s="175" t="s">
        <v>108</v>
      </c>
      <c r="B25" s="385">
        <v>1000</v>
      </c>
      <c r="C25" s="385">
        <v>1</v>
      </c>
      <c r="D25" s="380">
        <v>1E-3</v>
      </c>
      <c r="E25" s="381">
        <v>9.9999999999999995E-7</v>
      </c>
      <c r="F25" s="380">
        <v>0.27800000000000002</v>
      </c>
      <c r="G25" s="391">
        <v>2.7799999999999998E-4</v>
      </c>
      <c r="H25" s="409">
        <v>2.7799999999999997E-7</v>
      </c>
      <c r="I25" s="405">
        <v>2.7800000000000002E-10</v>
      </c>
      <c r="J25" s="380">
        <v>0.94781709999999997</v>
      </c>
      <c r="K25" s="410">
        <v>9.4781710000000004E-7</v>
      </c>
      <c r="L25" s="343">
        <v>0.23884589662749595</v>
      </c>
      <c r="M25" s="158"/>
      <c r="N25" s="158"/>
      <c r="O25" s="158"/>
      <c r="P25" s="158"/>
    </row>
    <row r="26" spans="1:16" x14ac:dyDescent="0.3">
      <c r="A26" s="175" t="s">
        <v>109</v>
      </c>
      <c r="B26" s="385">
        <v>1000000</v>
      </c>
      <c r="C26" s="385">
        <v>1000</v>
      </c>
      <c r="D26" s="385">
        <v>1</v>
      </c>
      <c r="E26" s="411">
        <v>1E-3</v>
      </c>
      <c r="F26" s="385">
        <v>278</v>
      </c>
      <c r="G26" s="380">
        <v>0.27800000000000002</v>
      </c>
      <c r="H26" s="381">
        <v>2.7799999999999998E-4</v>
      </c>
      <c r="I26" s="412">
        <v>2.7799999999999997E-7</v>
      </c>
      <c r="J26" s="393">
        <v>947.81709999999998</v>
      </c>
      <c r="K26" s="413">
        <v>9.4781712266701304E-4</v>
      </c>
      <c r="L26" s="343">
        <v>238.8459</v>
      </c>
      <c r="M26" s="158"/>
      <c r="N26" s="158"/>
      <c r="O26" s="158"/>
      <c r="P26" s="158"/>
    </row>
    <row r="27" spans="1:16" x14ac:dyDescent="0.3">
      <c r="A27" s="175" t="s">
        <v>110</v>
      </c>
      <c r="B27" s="385">
        <v>1000000000</v>
      </c>
      <c r="C27" s="385">
        <v>1000000</v>
      </c>
      <c r="D27" s="385">
        <v>1000</v>
      </c>
      <c r="E27" s="402">
        <v>1</v>
      </c>
      <c r="F27" s="385">
        <v>278000</v>
      </c>
      <c r="G27" s="385">
        <v>278</v>
      </c>
      <c r="H27" s="393">
        <v>0.27800000000000002</v>
      </c>
      <c r="I27" s="381">
        <v>2.7799999999999998E-4</v>
      </c>
      <c r="J27" s="385">
        <v>947817.1</v>
      </c>
      <c r="K27" s="414">
        <v>0.94781709999999997</v>
      </c>
      <c r="L27" s="415">
        <v>238845.89662749591</v>
      </c>
      <c r="M27" s="367"/>
      <c r="N27" s="158"/>
      <c r="O27" s="158"/>
      <c r="P27" s="158"/>
    </row>
    <row r="28" spans="1:16" x14ac:dyDescent="0.3">
      <c r="A28" s="175" t="s">
        <v>111</v>
      </c>
      <c r="B28" s="385">
        <v>3600</v>
      </c>
      <c r="C28" s="416">
        <v>3.6</v>
      </c>
      <c r="D28" s="386">
        <v>3.5999999999999999E-3</v>
      </c>
      <c r="E28" s="417">
        <v>3.5999999999999998E-6</v>
      </c>
      <c r="F28" s="385">
        <v>1</v>
      </c>
      <c r="G28" s="380">
        <v>1E-3</v>
      </c>
      <c r="H28" s="418">
        <v>9.9999999999999995E-7</v>
      </c>
      <c r="I28" s="419">
        <v>1.0000000000000001E-9</v>
      </c>
      <c r="J28" s="393">
        <v>3.4121419999999998</v>
      </c>
      <c r="K28" s="420">
        <v>3.4121419999999998E-6</v>
      </c>
      <c r="L28" s="343">
        <v>0.85915790000000003</v>
      </c>
      <c r="M28" s="158"/>
      <c r="N28" s="158"/>
      <c r="O28" s="158"/>
      <c r="P28" s="158"/>
    </row>
    <row r="29" spans="1:16" x14ac:dyDescent="0.3">
      <c r="A29" s="175" t="s">
        <v>112</v>
      </c>
      <c r="B29" s="385">
        <v>3600000</v>
      </c>
      <c r="C29" s="385">
        <v>3600</v>
      </c>
      <c r="D29" s="416">
        <v>3.6</v>
      </c>
      <c r="E29" s="411">
        <v>3.5999999999999999E-3</v>
      </c>
      <c r="F29" s="385">
        <v>1000</v>
      </c>
      <c r="G29" s="385">
        <v>1</v>
      </c>
      <c r="H29" s="400">
        <v>1E-3</v>
      </c>
      <c r="I29" s="418">
        <v>9.9999999999999995E-7</v>
      </c>
      <c r="J29" s="385">
        <v>3412.1419999999998</v>
      </c>
      <c r="K29" s="421">
        <v>3.412142E-3</v>
      </c>
      <c r="L29" s="343">
        <v>859.15790000000004</v>
      </c>
      <c r="M29" s="158"/>
      <c r="N29" s="158"/>
      <c r="O29" s="158"/>
      <c r="P29" s="158"/>
    </row>
    <row r="30" spans="1:16" x14ac:dyDescent="0.3">
      <c r="A30" s="175" t="s">
        <v>113</v>
      </c>
      <c r="B30" s="385">
        <v>3600000000</v>
      </c>
      <c r="C30" s="385">
        <v>3600000</v>
      </c>
      <c r="D30" s="385">
        <v>3600</v>
      </c>
      <c r="E30" s="416">
        <v>3.6</v>
      </c>
      <c r="F30" s="385">
        <v>1000000</v>
      </c>
      <c r="G30" s="385">
        <v>1000</v>
      </c>
      <c r="H30" s="402">
        <v>1</v>
      </c>
      <c r="I30" s="400">
        <v>1E-3</v>
      </c>
      <c r="J30" s="385">
        <v>3412142</v>
      </c>
      <c r="K30" s="414">
        <v>3.4121419999999998</v>
      </c>
      <c r="L30" s="343">
        <v>859157.9</v>
      </c>
      <c r="M30" s="158"/>
      <c r="N30" s="158"/>
      <c r="O30" s="158"/>
      <c r="P30" s="158"/>
    </row>
    <row r="31" spans="1:16" x14ac:dyDescent="0.3">
      <c r="A31" s="175" t="s">
        <v>114</v>
      </c>
      <c r="B31" s="405">
        <v>3600000000000</v>
      </c>
      <c r="C31" s="385">
        <v>3600000000</v>
      </c>
      <c r="D31" s="385">
        <v>3600000</v>
      </c>
      <c r="E31" s="385">
        <v>3600</v>
      </c>
      <c r="F31" s="385">
        <v>1000000000</v>
      </c>
      <c r="G31" s="385">
        <v>1000000</v>
      </c>
      <c r="H31" s="385">
        <v>1000</v>
      </c>
      <c r="I31" s="402">
        <v>1</v>
      </c>
      <c r="J31" s="405">
        <v>3412142000</v>
      </c>
      <c r="K31" s="422">
        <v>3412.1419999999998</v>
      </c>
      <c r="L31" s="423">
        <v>859157900</v>
      </c>
      <c r="M31" s="367"/>
      <c r="N31" s="158"/>
      <c r="O31" s="158"/>
      <c r="P31" s="158"/>
    </row>
    <row r="32" spans="1:16" x14ac:dyDescent="0.3">
      <c r="A32" s="175" t="s">
        <v>115</v>
      </c>
      <c r="B32" s="385">
        <v>1055.056</v>
      </c>
      <c r="C32" s="380">
        <v>1.055056</v>
      </c>
      <c r="D32" s="386">
        <v>1.055056E-3</v>
      </c>
      <c r="E32" s="417">
        <v>1.0550559999999999E-6</v>
      </c>
      <c r="F32" s="380">
        <v>0.29307109999999997</v>
      </c>
      <c r="G32" s="391">
        <v>2.9307109999999998E-4</v>
      </c>
      <c r="H32" s="405">
        <v>2.9307109999999998E-7</v>
      </c>
      <c r="I32" s="405">
        <v>2.9307109999999999E-10</v>
      </c>
      <c r="J32" s="385">
        <v>1</v>
      </c>
      <c r="K32" s="424">
        <v>9.9999999999999995E-7</v>
      </c>
      <c r="L32" s="425">
        <v>0.25199579999999999</v>
      </c>
      <c r="M32" s="158"/>
      <c r="N32" s="158"/>
      <c r="O32" s="158"/>
      <c r="P32" s="158"/>
    </row>
    <row r="33" spans="1:16" x14ac:dyDescent="0.3">
      <c r="A33" s="379" t="s">
        <v>116</v>
      </c>
      <c r="B33" s="426">
        <v>1055056000</v>
      </c>
      <c r="C33" s="426">
        <v>1055056</v>
      </c>
      <c r="D33" s="426">
        <v>1055.056</v>
      </c>
      <c r="E33" s="427">
        <v>1.055056</v>
      </c>
      <c r="F33" s="426">
        <v>293071.09999999998</v>
      </c>
      <c r="G33" s="428">
        <v>293.0711</v>
      </c>
      <c r="H33" s="429">
        <v>0.29307109999999997</v>
      </c>
      <c r="I33" s="430">
        <v>2.9307109999999998E-4</v>
      </c>
      <c r="J33" s="426">
        <v>1000000</v>
      </c>
      <c r="K33" s="431">
        <v>1</v>
      </c>
      <c r="L33" s="432">
        <v>251995.76048533493</v>
      </c>
      <c r="M33" s="367"/>
      <c r="N33" s="158"/>
      <c r="O33" s="158"/>
      <c r="P33" s="158"/>
    </row>
    <row r="34" spans="1:16" x14ac:dyDescent="0.3">
      <c r="A34" s="211" t="s">
        <v>117</v>
      </c>
      <c r="B34" s="446">
        <v>4186.8</v>
      </c>
      <c r="C34" s="397">
        <v>4.1867999999999999</v>
      </c>
      <c r="D34" s="387">
        <v>4.1868000000000001E-3</v>
      </c>
      <c r="E34" s="399">
        <v>4.1868000000000003E-6</v>
      </c>
      <c r="F34" s="397">
        <v>1.1639299999999999</v>
      </c>
      <c r="G34" s="387">
        <v>1.1639300000000001E-3</v>
      </c>
      <c r="H34" s="433">
        <v>1.16393E-6</v>
      </c>
      <c r="I34" s="433">
        <v>1.1639299999999999E-9</v>
      </c>
      <c r="J34" s="397">
        <v>3.968321</v>
      </c>
      <c r="K34" s="399">
        <v>3.9683209999999997E-6</v>
      </c>
      <c r="L34" s="163">
        <v>1</v>
      </c>
      <c r="M34" s="158"/>
      <c r="N34" s="158"/>
      <c r="O34" s="158"/>
      <c r="P34" s="158"/>
    </row>
    <row r="35" spans="1:16" x14ac:dyDescent="0.3">
      <c r="A35" s="158"/>
      <c r="B35" s="162"/>
      <c r="C35" s="162"/>
      <c r="D35" s="162"/>
      <c r="E35" s="162"/>
      <c r="F35" s="162" t="s">
        <v>118</v>
      </c>
      <c r="G35" s="162"/>
      <c r="H35" s="162"/>
      <c r="I35" s="162"/>
      <c r="J35" s="158"/>
      <c r="K35" s="158"/>
      <c r="L35" s="158"/>
      <c r="M35" s="158"/>
      <c r="N35" s="158"/>
      <c r="O35" s="158"/>
      <c r="P35" s="158"/>
    </row>
    <row r="36" spans="1:16" x14ac:dyDescent="0.3">
      <c r="A36" s="158"/>
      <c r="B36" s="162"/>
      <c r="C36" s="162"/>
      <c r="D36" s="162"/>
      <c r="E36" s="162"/>
      <c r="F36" s="162"/>
      <c r="G36" s="162"/>
      <c r="H36" s="162"/>
      <c r="I36" s="162"/>
      <c r="J36" s="158"/>
      <c r="K36" s="158"/>
      <c r="L36" s="158"/>
      <c r="M36" s="158"/>
      <c r="N36" s="158"/>
      <c r="O36" s="158"/>
      <c r="P36" s="158"/>
    </row>
    <row r="37" spans="1:16" x14ac:dyDescent="0.3">
      <c r="A37" s="444" t="s">
        <v>119</v>
      </c>
      <c r="B37" s="163" t="s">
        <v>120</v>
      </c>
      <c r="C37" s="163" t="s">
        <v>121</v>
      </c>
      <c r="D37" s="163" t="s">
        <v>122</v>
      </c>
      <c r="E37" s="162"/>
      <c r="F37" s="162"/>
      <c r="G37" s="162"/>
      <c r="H37" s="162"/>
      <c r="I37" s="162"/>
      <c r="J37" s="158"/>
      <c r="K37" s="158"/>
      <c r="L37" s="158"/>
      <c r="M37" s="158"/>
      <c r="N37" s="158"/>
      <c r="O37" s="158"/>
      <c r="P37" s="158"/>
    </row>
    <row r="38" spans="1:16" x14ac:dyDescent="0.3">
      <c r="A38" s="175" t="s">
        <v>120</v>
      </c>
      <c r="B38" s="434">
        <v>1</v>
      </c>
      <c r="C38" s="342">
        <v>0.62150000000000005</v>
      </c>
      <c r="D38" s="342">
        <v>0.54</v>
      </c>
      <c r="E38" s="162"/>
      <c r="F38" s="162"/>
      <c r="G38" s="162"/>
      <c r="H38" s="162"/>
      <c r="I38" s="162"/>
      <c r="J38" s="158"/>
      <c r="K38" s="158"/>
      <c r="L38" s="158"/>
      <c r="M38" s="158"/>
      <c r="N38" s="158"/>
      <c r="O38" s="158"/>
      <c r="P38" s="158"/>
    </row>
    <row r="39" spans="1:16" x14ac:dyDescent="0.3">
      <c r="A39" s="175" t="s">
        <v>121</v>
      </c>
      <c r="B39" s="182">
        <v>1.609</v>
      </c>
      <c r="C39" s="434">
        <v>1</v>
      </c>
      <c r="D39" s="342">
        <v>0.86899999999999999</v>
      </c>
      <c r="E39" s="162"/>
      <c r="F39" s="162"/>
      <c r="G39" s="162"/>
      <c r="H39" s="162"/>
      <c r="I39" s="162"/>
      <c r="J39" s="158"/>
      <c r="K39" s="158"/>
      <c r="L39" s="158"/>
      <c r="M39" s="158"/>
      <c r="N39" s="158"/>
      <c r="O39" s="158"/>
      <c r="P39" s="158"/>
    </row>
    <row r="40" spans="1:16" x14ac:dyDescent="0.3">
      <c r="A40" s="175" t="s">
        <v>122</v>
      </c>
      <c r="B40" s="182">
        <v>1.8520000000000001</v>
      </c>
      <c r="C40" s="182">
        <v>1.151</v>
      </c>
      <c r="D40" s="434">
        <v>1</v>
      </c>
      <c r="E40" s="158"/>
      <c r="F40" s="158"/>
      <c r="G40" s="158"/>
      <c r="H40" s="158"/>
      <c r="I40" s="158"/>
      <c r="J40" s="158"/>
      <c r="K40" s="158"/>
      <c r="L40" s="158"/>
      <c r="M40" s="158"/>
      <c r="N40" s="158"/>
      <c r="O40" s="158"/>
      <c r="P40" s="158"/>
    </row>
    <row r="41" spans="1:16" x14ac:dyDescent="0.3">
      <c r="A41" s="158"/>
      <c r="B41" s="158"/>
      <c r="C41" s="158"/>
      <c r="D41" s="158"/>
      <c r="E41" s="158"/>
      <c r="F41" s="158"/>
      <c r="G41" s="158"/>
      <c r="H41" s="158"/>
      <c r="I41" s="158"/>
      <c r="J41" s="158"/>
      <c r="K41" s="158"/>
      <c r="L41" s="158"/>
      <c r="M41" s="158"/>
      <c r="N41" s="158"/>
      <c r="O41" s="158"/>
      <c r="P41" s="158"/>
    </row>
    <row r="42" spans="1:16" x14ac:dyDescent="0.3">
      <c r="A42" s="158"/>
      <c r="B42" s="158"/>
      <c r="C42" s="158"/>
      <c r="D42" s="158"/>
      <c r="E42" s="158"/>
      <c r="F42" s="158"/>
      <c r="G42" s="158"/>
      <c r="H42" s="158"/>
      <c r="I42" s="158"/>
      <c r="J42" s="158"/>
      <c r="K42" s="158"/>
      <c r="L42" s="158"/>
      <c r="M42" s="158"/>
      <c r="N42" s="158"/>
      <c r="O42" s="158"/>
      <c r="P42" s="158"/>
    </row>
    <row r="43" spans="1:16" s="174" customFormat="1" x14ac:dyDescent="0.3">
      <c r="A43" s="172" t="s">
        <v>123</v>
      </c>
      <c r="B43" s="173" t="s">
        <v>66</v>
      </c>
      <c r="C43" s="173" t="s">
        <v>66</v>
      </c>
      <c r="D43" s="173" t="s">
        <v>66</v>
      </c>
      <c r="E43" s="173" t="s">
        <v>66</v>
      </c>
      <c r="F43" s="173" t="s">
        <v>66</v>
      </c>
      <c r="G43" s="173" t="s">
        <v>66</v>
      </c>
      <c r="H43" s="173" t="s">
        <v>66</v>
      </c>
      <c r="I43" s="173" t="s">
        <v>66</v>
      </c>
      <c r="J43" s="173" t="s">
        <v>66</v>
      </c>
      <c r="K43" s="173" t="s">
        <v>66</v>
      </c>
      <c r="L43" s="173" t="s">
        <v>66</v>
      </c>
      <c r="M43" s="173" t="s">
        <v>66</v>
      </c>
      <c r="N43" s="173" t="s">
        <v>66</v>
      </c>
      <c r="O43" s="173" t="s">
        <v>66</v>
      </c>
      <c r="P43" s="173" t="s">
        <v>66</v>
      </c>
    </row>
    <row r="44" spans="1:16" x14ac:dyDescent="0.3">
      <c r="A44" s="158"/>
      <c r="B44" s="158"/>
      <c r="C44" s="158"/>
      <c r="D44" s="158"/>
      <c r="E44" s="158"/>
      <c r="F44" s="158"/>
      <c r="G44" s="158"/>
      <c r="H44" s="158"/>
      <c r="I44" s="158"/>
      <c r="J44" s="158"/>
      <c r="K44" s="158"/>
      <c r="L44" s="158"/>
      <c r="M44" s="158"/>
      <c r="N44" s="158"/>
      <c r="O44" s="158"/>
      <c r="P44" s="158"/>
    </row>
    <row r="45" spans="1:16" x14ac:dyDescent="0.3">
      <c r="A45" s="177" t="s">
        <v>124</v>
      </c>
      <c r="B45" s="157" t="s">
        <v>125</v>
      </c>
      <c r="C45" s="178" t="s">
        <v>126</v>
      </c>
      <c r="D45" s="160" t="s">
        <v>127</v>
      </c>
      <c r="E45" s="606" t="s">
        <v>128</v>
      </c>
      <c r="F45" s="606"/>
      <c r="G45" s="607"/>
      <c r="H45" s="158"/>
      <c r="I45" s="158"/>
      <c r="J45" s="158"/>
      <c r="K45" s="158"/>
      <c r="L45" s="158"/>
      <c r="M45" s="158"/>
      <c r="N45" s="158"/>
      <c r="O45" s="158"/>
      <c r="P45" s="158"/>
    </row>
    <row r="46" spans="1:16" x14ac:dyDescent="0.3">
      <c r="A46" s="620" t="s">
        <v>129</v>
      </c>
      <c r="B46" s="179" t="s">
        <v>130</v>
      </c>
      <c r="C46" s="435">
        <v>48</v>
      </c>
      <c r="D46" s="161" t="s">
        <v>131</v>
      </c>
      <c r="E46" s="631" t="s">
        <v>132</v>
      </c>
      <c r="F46" s="632"/>
      <c r="G46" s="633"/>
      <c r="H46" s="345"/>
      <c r="I46" s="158"/>
      <c r="J46" s="158"/>
      <c r="K46" s="158"/>
      <c r="L46" s="158"/>
      <c r="M46" s="158"/>
      <c r="N46" s="158"/>
      <c r="O46" s="158"/>
      <c r="P46" s="158"/>
    </row>
    <row r="47" spans="1:16" x14ac:dyDescent="0.3">
      <c r="A47" s="634"/>
      <c r="B47" s="179" t="s">
        <v>133</v>
      </c>
      <c r="C47" s="435">
        <v>56</v>
      </c>
      <c r="D47" s="161" t="s">
        <v>131</v>
      </c>
      <c r="E47" s="631" t="s">
        <v>132</v>
      </c>
      <c r="F47" s="632"/>
      <c r="G47" s="633"/>
      <c r="H47" s="158"/>
      <c r="I47" s="158"/>
      <c r="J47" s="158"/>
      <c r="K47" s="158"/>
      <c r="L47" s="158"/>
      <c r="M47" s="158"/>
      <c r="N47" s="158"/>
      <c r="O47" s="158"/>
      <c r="P47" s="158"/>
    </row>
    <row r="48" spans="1:16" x14ac:dyDescent="0.3">
      <c r="A48" s="634"/>
      <c r="B48" s="179" t="s">
        <v>134</v>
      </c>
      <c r="C48" s="435">
        <v>60</v>
      </c>
      <c r="D48" s="161" t="s">
        <v>131</v>
      </c>
      <c r="E48" s="631" t="s">
        <v>132</v>
      </c>
      <c r="F48" s="632"/>
      <c r="G48" s="633"/>
      <c r="H48" s="158"/>
      <c r="I48" s="158"/>
      <c r="J48" s="158"/>
      <c r="K48" s="158"/>
      <c r="L48" s="158"/>
      <c r="M48" s="158"/>
      <c r="N48" s="158"/>
      <c r="O48" s="158"/>
      <c r="P48" s="158"/>
    </row>
    <row r="49" spans="1:16" x14ac:dyDescent="0.3">
      <c r="A49" s="621"/>
      <c r="B49" s="322" t="s">
        <v>135</v>
      </c>
      <c r="C49" s="436">
        <v>56</v>
      </c>
      <c r="D49" s="161" t="s">
        <v>131</v>
      </c>
      <c r="E49" s="631" t="s">
        <v>132</v>
      </c>
      <c r="F49" s="632"/>
      <c r="G49" s="633"/>
      <c r="H49" s="158"/>
      <c r="I49" s="158"/>
      <c r="J49" s="158"/>
      <c r="K49" s="158"/>
      <c r="L49" s="158"/>
      <c r="M49" s="158"/>
      <c r="N49" s="158"/>
      <c r="O49" s="158"/>
      <c r="P49" s="158"/>
    </row>
    <row r="50" spans="1:16" x14ac:dyDescent="0.3">
      <c r="A50" s="180" t="s">
        <v>136</v>
      </c>
      <c r="B50" s="179" t="s">
        <v>136</v>
      </c>
      <c r="C50" s="435">
        <v>60</v>
      </c>
      <c r="D50" s="161" t="s">
        <v>131</v>
      </c>
      <c r="E50" s="631" t="s">
        <v>132</v>
      </c>
      <c r="F50" s="632"/>
      <c r="G50" s="633"/>
      <c r="H50" s="158"/>
      <c r="I50" s="158"/>
      <c r="J50" s="158"/>
      <c r="K50" s="158"/>
      <c r="L50" s="158"/>
      <c r="M50" s="158"/>
      <c r="N50" s="158"/>
      <c r="O50" s="158"/>
      <c r="P50" s="158"/>
    </row>
    <row r="51" spans="1:16" x14ac:dyDescent="0.3">
      <c r="A51" s="620" t="s">
        <v>137</v>
      </c>
      <c r="B51" s="179" t="s">
        <v>138</v>
      </c>
      <c r="C51" s="182">
        <v>0.91500000000000004</v>
      </c>
      <c r="D51" s="161" t="s">
        <v>139</v>
      </c>
      <c r="E51" s="604" t="s">
        <v>140</v>
      </c>
      <c r="F51" s="604"/>
      <c r="G51" s="605"/>
      <c r="H51" s="158"/>
      <c r="I51" s="158"/>
      <c r="J51" s="158"/>
      <c r="K51" s="158"/>
      <c r="L51" s="158"/>
      <c r="M51" s="158"/>
      <c r="N51" s="158"/>
      <c r="O51" s="158"/>
      <c r="P51" s="158"/>
    </row>
    <row r="52" spans="1:16" x14ac:dyDescent="0.3">
      <c r="A52" s="621"/>
      <c r="B52" s="179" t="s">
        <v>141</v>
      </c>
      <c r="C52" s="182">
        <v>0.91500000000000004</v>
      </c>
      <c r="D52" s="161" t="s">
        <v>139</v>
      </c>
      <c r="E52" s="604" t="s">
        <v>140</v>
      </c>
      <c r="F52" s="604"/>
      <c r="G52" s="605"/>
      <c r="H52" s="158"/>
      <c r="I52" s="158"/>
      <c r="J52" s="158"/>
      <c r="K52" s="158"/>
      <c r="L52" s="158"/>
      <c r="M52" s="158"/>
      <c r="N52" s="158"/>
      <c r="O52" s="158"/>
      <c r="P52" s="158"/>
    </row>
    <row r="53" spans="1:16" x14ac:dyDescent="0.3">
      <c r="A53" s="622" t="s">
        <v>142</v>
      </c>
      <c r="B53" s="179" t="s">
        <v>143</v>
      </c>
      <c r="C53" s="343">
        <v>0.88400000000000001</v>
      </c>
      <c r="D53" s="161" t="s">
        <v>139</v>
      </c>
      <c r="E53" s="604" t="s">
        <v>144</v>
      </c>
      <c r="F53" s="604"/>
      <c r="G53" s="605"/>
      <c r="H53" s="158"/>
      <c r="I53" s="158"/>
      <c r="J53" s="158"/>
      <c r="K53" s="158"/>
      <c r="L53" s="158"/>
      <c r="M53" s="158"/>
      <c r="N53" s="158"/>
      <c r="O53" s="158"/>
      <c r="P53" s="158"/>
    </row>
    <row r="54" spans="1:16" x14ac:dyDescent="0.3">
      <c r="A54" s="623"/>
      <c r="B54" s="179" t="s">
        <v>145</v>
      </c>
      <c r="C54" s="182">
        <v>0.91</v>
      </c>
      <c r="D54" s="161" t="s">
        <v>139</v>
      </c>
      <c r="E54" s="604" t="s">
        <v>146</v>
      </c>
      <c r="F54" s="604"/>
      <c r="G54" s="608"/>
      <c r="H54" s="158"/>
      <c r="I54" s="158"/>
      <c r="J54" s="158"/>
      <c r="K54" s="158"/>
      <c r="L54" s="158"/>
      <c r="M54" s="158"/>
      <c r="N54" s="158"/>
      <c r="O54" s="158"/>
      <c r="P54" s="158"/>
    </row>
    <row r="55" spans="1:16" x14ac:dyDescent="0.3">
      <c r="A55" s="624"/>
      <c r="B55" s="179" t="s">
        <v>147</v>
      </c>
      <c r="C55" s="182">
        <v>0.88400000000000001</v>
      </c>
      <c r="D55" s="161" t="s">
        <v>139</v>
      </c>
      <c r="E55" s="604" t="s">
        <v>148</v>
      </c>
      <c r="F55" s="604"/>
      <c r="G55" s="605"/>
      <c r="H55" s="158"/>
      <c r="I55" s="158"/>
      <c r="J55" s="158"/>
      <c r="K55" s="158"/>
      <c r="L55" s="158"/>
      <c r="M55" s="158"/>
      <c r="N55" s="158"/>
      <c r="O55" s="158"/>
      <c r="P55" s="158"/>
    </row>
    <row r="56" spans="1:16" ht="32.1" customHeight="1" x14ac:dyDescent="0.3">
      <c r="A56" s="635" t="s">
        <v>149</v>
      </c>
      <c r="B56" s="183" t="s">
        <v>150</v>
      </c>
      <c r="C56" s="184">
        <v>12.1</v>
      </c>
      <c r="D56" s="161" t="s">
        <v>151</v>
      </c>
      <c r="E56" s="604" t="s">
        <v>152</v>
      </c>
      <c r="F56" s="604"/>
      <c r="G56" s="605"/>
      <c r="H56" s="158"/>
      <c r="I56" s="158"/>
      <c r="J56" s="158"/>
      <c r="K56" s="158"/>
      <c r="L56" s="158"/>
      <c r="M56" s="158"/>
      <c r="N56" s="158"/>
      <c r="O56" s="158"/>
      <c r="P56" s="158"/>
    </row>
    <row r="57" spans="1:16" ht="30" customHeight="1" x14ac:dyDescent="0.3">
      <c r="A57" s="635"/>
      <c r="B57" s="159" t="s">
        <v>153</v>
      </c>
      <c r="C57" s="344">
        <v>34.04</v>
      </c>
      <c r="D57" s="161" t="s">
        <v>151</v>
      </c>
      <c r="E57" s="604" t="s">
        <v>152</v>
      </c>
      <c r="F57" s="604"/>
      <c r="G57" s="605"/>
      <c r="H57" s="158"/>
      <c r="I57" s="158"/>
      <c r="J57" s="158"/>
      <c r="K57" s="158"/>
      <c r="L57" s="158"/>
      <c r="M57" s="158"/>
      <c r="N57" s="158"/>
      <c r="O57" s="158"/>
      <c r="P57" s="158"/>
    </row>
    <row r="58" spans="1:16" ht="30" customHeight="1" x14ac:dyDescent="0.3">
      <c r="A58" s="636"/>
      <c r="B58" s="185" t="s">
        <v>154</v>
      </c>
      <c r="C58" s="168">
        <v>34.04</v>
      </c>
      <c r="D58" s="161" t="s">
        <v>151</v>
      </c>
      <c r="E58" s="604" t="s">
        <v>152</v>
      </c>
      <c r="F58" s="604"/>
      <c r="G58" s="605"/>
      <c r="H58" s="158"/>
      <c r="I58" s="158"/>
      <c r="J58" s="158"/>
      <c r="K58" s="158"/>
      <c r="L58" s="158"/>
      <c r="M58" s="158"/>
      <c r="N58" s="158"/>
      <c r="O58" s="158"/>
      <c r="P58" s="158"/>
    </row>
    <row r="59" spans="1:16" x14ac:dyDescent="0.3">
      <c r="A59" s="186" t="s">
        <v>155</v>
      </c>
      <c r="B59" s="158"/>
      <c r="C59" s="158"/>
      <c r="D59" s="158"/>
      <c r="E59" s="158"/>
      <c r="F59" s="158"/>
      <c r="G59" s="158"/>
      <c r="H59" s="158"/>
      <c r="I59" s="158"/>
      <c r="J59" s="158"/>
    </row>
    <row r="60" spans="1:16" x14ac:dyDescent="0.3">
      <c r="A60" s="186"/>
      <c r="B60" s="158"/>
      <c r="C60" s="158"/>
      <c r="D60" s="158"/>
      <c r="E60" s="158"/>
      <c r="F60" s="158"/>
      <c r="G60" s="158"/>
      <c r="H60" s="158"/>
      <c r="I60" s="158"/>
      <c r="J60" s="158"/>
    </row>
    <row r="61" spans="1:16" x14ac:dyDescent="0.3">
      <c r="A61" s="158"/>
      <c r="B61" s="158"/>
      <c r="C61" s="158"/>
      <c r="D61" s="158"/>
      <c r="E61" s="158"/>
      <c r="F61" s="158"/>
      <c r="G61" s="158"/>
      <c r="H61" s="158"/>
      <c r="I61" s="158"/>
      <c r="J61" s="158"/>
      <c r="K61" s="158"/>
      <c r="L61" s="158"/>
      <c r="M61" s="158"/>
      <c r="N61" s="158"/>
      <c r="O61" s="158"/>
      <c r="P61" s="158"/>
    </row>
    <row r="62" spans="1:16" s="174" customFormat="1" x14ac:dyDescent="0.3">
      <c r="A62" s="172" t="s">
        <v>156</v>
      </c>
      <c r="B62" s="173" t="s">
        <v>66</v>
      </c>
      <c r="C62" s="173" t="s">
        <v>66</v>
      </c>
      <c r="D62" s="173" t="s">
        <v>66</v>
      </c>
      <c r="E62" s="173" t="s">
        <v>66</v>
      </c>
      <c r="F62" s="173" t="s">
        <v>66</v>
      </c>
      <c r="G62" s="173" t="s">
        <v>66</v>
      </c>
      <c r="H62" s="173" t="s">
        <v>66</v>
      </c>
      <c r="I62" s="173" t="s">
        <v>66</v>
      </c>
      <c r="J62" s="173" t="s">
        <v>66</v>
      </c>
      <c r="K62" s="173" t="s">
        <v>66</v>
      </c>
      <c r="L62" s="173" t="s">
        <v>66</v>
      </c>
      <c r="M62" s="173" t="s">
        <v>66</v>
      </c>
      <c r="N62" s="173" t="s">
        <v>66</v>
      </c>
      <c r="O62" s="173" t="s">
        <v>66</v>
      </c>
      <c r="P62" s="173" t="s">
        <v>66</v>
      </c>
    </row>
    <row r="63" spans="1:16" x14ac:dyDescent="0.3">
      <c r="A63" s="158"/>
      <c r="B63" s="158"/>
      <c r="C63" s="158"/>
      <c r="D63" s="158"/>
      <c r="E63" s="158"/>
      <c r="F63" s="176"/>
      <c r="G63" s="158"/>
      <c r="H63" s="158"/>
      <c r="I63" s="158"/>
      <c r="J63" s="158"/>
      <c r="K63" s="158"/>
      <c r="L63" s="158"/>
      <c r="M63" s="158"/>
      <c r="N63" s="158"/>
      <c r="O63" s="158"/>
      <c r="P63" s="158"/>
    </row>
    <row r="64" spans="1:16" x14ac:dyDescent="0.3">
      <c r="A64" s="177" t="s">
        <v>157</v>
      </c>
      <c r="B64" s="160" t="s">
        <v>158</v>
      </c>
      <c r="C64" s="606" t="s">
        <v>128</v>
      </c>
      <c r="D64" s="606"/>
      <c r="E64" s="607"/>
      <c r="F64" s="160" t="s">
        <v>159</v>
      </c>
      <c r="G64" s="606" t="s">
        <v>128</v>
      </c>
      <c r="H64" s="606"/>
      <c r="I64" s="607"/>
      <c r="J64" s="160" t="s">
        <v>160</v>
      </c>
      <c r="K64" s="606" t="s">
        <v>128</v>
      </c>
      <c r="L64" s="606"/>
      <c r="M64" s="625"/>
      <c r="N64" s="158"/>
      <c r="O64" s="158"/>
      <c r="P64" s="158"/>
    </row>
    <row r="65" spans="1:16" x14ac:dyDescent="0.3">
      <c r="A65" s="175" t="s">
        <v>36</v>
      </c>
      <c r="B65" s="165">
        <v>29.67</v>
      </c>
      <c r="C65" s="604" t="s">
        <v>161</v>
      </c>
      <c r="D65" s="604"/>
      <c r="E65" s="608"/>
      <c r="F65" s="165">
        <v>789.3</v>
      </c>
      <c r="G65" s="604" t="s">
        <v>161</v>
      </c>
      <c r="H65" s="604"/>
      <c r="I65" s="608"/>
      <c r="J65" s="168">
        <v>23.42</v>
      </c>
      <c r="K65" s="604" t="s">
        <v>162</v>
      </c>
      <c r="L65" s="604"/>
      <c r="M65" s="608"/>
      <c r="N65" s="158"/>
      <c r="O65" s="158"/>
      <c r="P65" s="158"/>
    </row>
    <row r="66" spans="1:16" x14ac:dyDescent="0.3">
      <c r="A66" s="175" t="s">
        <v>163</v>
      </c>
      <c r="B66" s="165">
        <v>39.89</v>
      </c>
      <c r="C66" s="604" t="s">
        <v>161</v>
      </c>
      <c r="D66" s="604"/>
      <c r="E66" s="608"/>
      <c r="F66" s="166">
        <v>882</v>
      </c>
      <c r="G66" s="609" t="s">
        <v>161</v>
      </c>
      <c r="H66" s="604"/>
      <c r="I66" s="608"/>
      <c r="J66" s="168">
        <v>35.18</v>
      </c>
      <c r="K66" s="604" t="s">
        <v>162</v>
      </c>
      <c r="L66" s="604"/>
      <c r="M66" s="608"/>
      <c r="N66" s="158"/>
      <c r="O66" s="158"/>
      <c r="P66" s="158"/>
    </row>
    <row r="67" spans="1:16" x14ac:dyDescent="0.3">
      <c r="A67" s="187" t="s">
        <v>164</v>
      </c>
      <c r="B67" s="168">
        <v>14.645669291338583</v>
      </c>
      <c r="C67" s="610" t="s">
        <v>165</v>
      </c>
      <c r="D67" s="610"/>
      <c r="E67" s="611"/>
      <c r="F67" s="103">
        <v>1.27</v>
      </c>
      <c r="G67" s="610" t="s">
        <v>165</v>
      </c>
      <c r="H67" s="610"/>
      <c r="I67" s="611"/>
      <c r="J67" s="182">
        <v>1.8600000000000002E-2</v>
      </c>
      <c r="K67" s="610" t="s">
        <v>165</v>
      </c>
      <c r="L67" s="610"/>
      <c r="M67" s="611"/>
      <c r="N67" s="158"/>
      <c r="O67" s="158"/>
      <c r="P67" s="158"/>
    </row>
    <row r="68" spans="1:16" x14ac:dyDescent="0.3">
      <c r="A68" s="278" t="s">
        <v>166</v>
      </c>
      <c r="B68" s="165">
        <v>46.63</v>
      </c>
      <c r="C68" s="604" t="s">
        <v>167</v>
      </c>
      <c r="D68" s="604"/>
      <c r="E68" s="608"/>
      <c r="F68" s="165">
        <v>748.92792350000002</v>
      </c>
      <c r="G68" s="604" t="s">
        <v>168</v>
      </c>
      <c r="H68" s="604"/>
      <c r="I68" s="605"/>
      <c r="J68" s="168">
        <v>34.92</v>
      </c>
      <c r="K68" s="604" t="s">
        <v>162</v>
      </c>
      <c r="L68" s="604"/>
      <c r="M68" s="608"/>
      <c r="N68" s="158"/>
      <c r="O68" s="158"/>
      <c r="P68" s="158"/>
    </row>
    <row r="69" spans="1:16" x14ac:dyDescent="0.3">
      <c r="A69" s="175" t="s">
        <v>169</v>
      </c>
      <c r="B69" s="165">
        <v>47.17</v>
      </c>
      <c r="C69" s="615" t="s">
        <v>170</v>
      </c>
      <c r="D69" s="604"/>
      <c r="E69" s="608"/>
      <c r="F69" s="166">
        <v>771.6</v>
      </c>
      <c r="G69" s="609" t="s">
        <v>171</v>
      </c>
      <c r="H69" s="604"/>
      <c r="I69" s="605"/>
      <c r="J69" s="168">
        <v>36.396372</v>
      </c>
      <c r="K69" s="604" t="s">
        <v>162</v>
      </c>
      <c r="L69" s="604"/>
      <c r="M69" s="608"/>
      <c r="N69" s="158"/>
      <c r="O69" s="158"/>
      <c r="P69" s="158"/>
    </row>
    <row r="70" spans="1:16" x14ac:dyDescent="0.3">
      <c r="A70" s="175" t="s">
        <v>172</v>
      </c>
      <c r="B70" s="165">
        <v>51.34</v>
      </c>
      <c r="C70" s="615" t="s">
        <v>173</v>
      </c>
      <c r="D70" s="615"/>
      <c r="E70" s="616"/>
      <c r="F70" s="167">
        <f>G120</f>
        <v>1.88391715</v>
      </c>
      <c r="G70" s="615" t="s">
        <v>174</v>
      </c>
      <c r="H70" s="615"/>
      <c r="I70" s="616"/>
      <c r="J70" s="182">
        <f>K120</f>
        <v>9.672030648100001E-2</v>
      </c>
      <c r="K70" s="604" t="s">
        <v>162</v>
      </c>
      <c r="L70" s="604"/>
      <c r="M70" s="608"/>
      <c r="N70" s="158"/>
      <c r="O70" s="158"/>
      <c r="P70" s="158"/>
    </row>
    <row r="71" spans="1:16" x14ac:dyDescent="0.3">
      <c r="A71" s="175" t="s">
        <v>175</v>
      </c>
      <c r="B71" s="165">
        <v>51.34</v>
      </c>
      <c r="C71" s="615" t="s">
        <v>173</v>
      </c>
      <c r="D71" s="615"/>
      <c r="E71" s="616"/>
      <c r="F71" s="167">
        <v>493</v>
      </c>
      <c r="G71" s="615" t="s">
        <v>173</v>
      </c>
      <c r="H71" s="615"/>
      <c r="I71" s="616"/>
      <c r="J71" s="168">
        <v>25.31</v>
      </c>
      <c r="K71" s="604" t="s">
        <v>162</v>
      </c>
      <c r="L71" s="604"/>
      <c r="M71" s="608"/>
      <c r="N71" s="158"/>
      <c r="O71" s="158"/>
      <c r="P71" s="158"/>
    </row>
    <row r="72" spans="1:16" x14ac:dyDescent="0.3">
      <c r="A72" s="187" t="s">
        <v>176</v>
      </c>
      <c r="B72" s="165">
        <v>54.03</v>
      </c>
      <c r="C72" s="610" t="s">
        <v>177</v>
      </c>
      <c r="D72" s="610"/>
      <c r="E72" s="611"/>
      <c r="F72" s="103">
        <v>0.71050000000000002</v>
      </c>
      <c r="G72" s="612" t="s">
        <v>177</v>
      </c>
      <c r="H72" s="610"/>
      <c r="I72" s="611"/>
      <c r="J72" s="182">
        <v>3.8388037815308897E-2</v>
      </c>
      <c r="K72" s="604" t="s">
        <v>177</v>
      </c>
      <c r="L72" s="604"/>
      <c r="M72" s="608"/>
      <c r="N72" s="176"/>
      <c r="O72" s="158"/>
      <c r="P72" s="158"/>
    </row>
    <row r="73" spans="1:16" x14ac:dyDescent="0.3">
      <c r="A73" s="187" t="s">
        <v>178</v>
      </c>
      <c r="B73" s="165">
        <v>55.21</v>
      </c>
      <c r="C73" s="610" t="s">
        <v>179</v>
      </c>
      <c r="D73" s="610"/>
      <c r="E73" s="611"/>
      <c r="F73" s="167">
        <v>428.2</v>
      </c>
      <c r="G73" s="610" t="s">
        <v>179</v>
      </c>
      <c r="H73" s="610"/>
      <c r="I73" s="611"/>
      <c r="J73" s="168">
        <v>23.64</v>
      </c>
      <c r="K73" s="340" t="s">
        <v>179</v>
      </c>
      <c r="L73" s="340"/>
      <c r="M73" s="341"/>
      <c r="N73" s="158"/>
      <c r="O73" s="158"/>
      <c r="P73" s="158"/>
    </row>
    <row r="74" spans="1:16" x14ac:dyDescent="0.3">
      <c r="A74" s="175" t="s">
        <v>180</v>
      </c>
      <c r="B74" s="165">
        <v>141.91999999999999</v>
      </c>
      <c r="C74" s="604" t="s">
        <v>167</v>
      </c>
      <c r="D74" s="604"/>
      <c r="E74" s="608"/>
      <c r="F74" s="342">
        <v>8.5199999999999998E-2</v>
      </c>
      <c r="G74" s="604" t="s">
        <v>181</v>
      </c>
      <c r="H74" s="604"/>
      <c r="I74" s="608"/>
      <c r="J74" s="182">
        <v>1.2091584000000001E-2</v>
      </c>
      <c r="K74" s="604" t="s">
        <v>162</v>
      </c>
      <c r="L74" s="604"/>
      <c r="M74" s="608"/>
      <c r="N74" s="158"/>
      <c r="O74" s="158"/>
      <c r="P74" s="158"/>
    </row>
    <row r="75" spans="1:16" x14ac:dyDescent="0.3">
      <c r="A75" s="175" t="s">
        <v>182</v>
      </c>
      <c r="B75" s="165">
        <v>141.80000000000001</v>
      </c>
      <c r="C75" s="604" t="s">
        <v>167</v>
      </c>
      <c r="D75" s="604"/>
      <c r="E75" s="608"/>
      <c r="F75" s="168">
        <v>70.8</v>
      </c>
      <c r="G75" s="604" t="s">
        <v>167</v>
      </c>
      <c r="H75" s="604"/>
      <c r="I75" s="608"/>
      <c r="J75" s="168">
        <v>10.039999999999999</v>
      </c>
      <c r="K75" s="604" t="s">
        <v>162</v>
      </c>
      <c r="L75" s="604"/>
      <c r="M75" s="608"/>
      <c r="N75" s="158"/>
      <c r="O75" s="158"/>
      <c r="P75" s="158"/>
    </row>
    <row r="76" spans="1:16" x14ac:dyDescent="0.3">
      <c r="A76" s="437" t="s">
        <v>183</v>
      </c>
      <c r="B76" s="158"/>
      <c r="C76" s="158"/>
      <c r="D76" s="158"/>
      <c r="E76" s="158"/>
      <c r="F76" s="158"/>
      <c r="G76" s="158"/>
      <c r="H76" s="176"/>
      <c r="I76" s="158"/>
      <c r="J76" s="158"/>
      <c r="K76" s="158"/>
      <c r="L76" s="158"/>
      <c r="M76" s="158"/>
      <c r="N76" s="158"/>
    </row>
    <row r="77" spans="1:16" x14ac:dyDescent="0.3">
      <c r="A77" s="176"/>
      <c r="B77" s="158"/>
      <c r="C77" s="158"/>
      <c r="D77" s="158"/>
      <c r="E77" s="158"/>
      <c r="F77" s="158"/>
      <c r="G77" s="158"/>
      <c r="H77" s="158"/>
      <c r="I77" s="158"/>
      <c r="J77" s="176"/>
      <c r="K77" s="158"/>
      <c r="L77" s="158"/>
      <c r="M77" s="158"/>
      <c r="N77" s="158"/>
      <c r="O77" s="158"/>
      <c r="P77" s="158"/>
    </row>
    <row r="78" spans="1:16" x14ac:dyDescent="0.3">
      <c r="A78" s="176"/>
      <c r="B78" s="176"/>
      <c r="C78" s="158"/>
      <c r="D78" s="158"/>
      <c r="E78" s="158"/>
      <c r="F78" s="176"/>
      <c r="G78" s="158"/>
      <c r="H78" s="158"/>
      <c r="I78" s="158"/>
      <c r="J78" s="158"/>
      <c r="K78" s="158"/>
      <c r="L78" s="158"/>
      <c r="M78" s="158"/>
      <c r="N78" s="158"/>
      <c r="O78" s="158"/>
      <c r="P78" s="158"/>
    </row>
    <row r="79" spans="1:16" s="174" customFormat="1" x14ac:dyDescent="0.3">
      <c r="A79" s="172" t="s">
        <v>184</v>
      </c>
      <c r="B79" s="173" t="s">
        <v>66</v>
      </c>
      <c r="C79" s="173" t="s">
        <v>66</v>
      </c>
      <c r="D79" s="173" t="s">
        <v>66</v>
      </c>
      <c r="E79" s="173" t="s">
        <v>66</v>
      </c>
      <c r="F79" s="173" t="s">
        <v>66</v>
      </c>
      <c r="G79" s="173" t="s">
        <v>66</v>
      </c>
      <c r="H79" s="173" t="s">
        <v>66</v>
      </c>
      <c r="I79" s="173" t="s">
        <v>66</v>
      </c>
      <c r="J79" s="173" t="s">
        <v>66</v>
      </c>
      <c r="K79" s="173" t="s">
        <v>66</v>
      </c>
      <c r="L79" s="173" t="s">
        <v>66</v>
      </c>
      <c r="M79" s="173" t="s">
        <v>66</v>
      </c>
      <c r="N79" s="173" t="s">
        <v>66</v>
      </c>
      <c r="O79" s="173" t="s">
        <v>66</v>
      </c>
      <c r="P79" s="173" t="s">
        <v>66</v>
      </c>
    </row>
    <row r="80" spans="1:16" x14ac:dyDescent="0.3">
      <c r="A80" s="158"/>
      <c r="B80" s="158"/>
      <c r="C80" s="158"/>
      <c r="D80" s="158"/>
      <c r="E80" s="158"/>
      <c r="F80" s="158"/>
      <c r="G80" s="158"/>
      <c r="H80" s="158"/>
      <c r="I80" s="158"/>
      <c r="J80" s="158"/>
      <c r="K80" s="158"/>
      <c r="L80" s="158"/>
      <c r="M80" s="158"/>
      <c r="N80" s="158"/>
      <c r="O80" s="158"/>
      <c r="P80" s="158"/>
    </row>
    <row r="81" spans="1:16" x14ac:dyDescent="0.3">
      <c r="A81" s="177" t="s">
        <v>157</v>
      </c>
      <c r="B81" s="157" t="s">
        <v>185</v>
      </c>
      <c r="C81" s="206" t="s">
        <v>186</v>
      </c>
      <c r="D81" s="207" t="s">
        <v>187</v>
      </c>
      <c r="E81" s="207" t="s">
        <v>160</v>
      </c>
      <c r="F81" s="204" t="s">
        <v>128</v>
      </c>
      <c r="G81" s="204"/>
      <c r="H81" s="204"/>
      <c r="I81" s="617" t="s">
        <v>188</v>
      </c>
      <c r="J81" s="617"/>
      <c r="K81" s="617"/>
      <c r="M81" s="158"/>
      <c r="N81" s="158"/>
      <c r="O81" s="158"/>
      <c r="P81" s="158"/>
    </row>
    <row r="82" spans="1:16" ht="53.4" customHeight="1" x14ac:dyDescent="0.3">
      <c r="A82" s="626" t="s">
        <v>36</v>
      </c>
      <c r="B82" s="185" t="s">
        <v>189</v>
      </c>
      <c r="C82" s="208">
        <v>21.75</v>
      </c>
      <c r="D82" s="209" t="s">
        <v>190</v>
      </c>
      <c r="E82" s="209" t="s">
        <v>190</v>
      </c>
      <c r="F82" s="628" t="s">
        <v>191</v>
      </c>
      <c r="G82" s="629"/>
      <c r="H82" s="629"/>
      <c r="I82" s="618" t="s">
        <v>192</v>
      </c>
      <c r="J82" s="618"/>
      <c r="K82" s="618"/>
      <c r="M82" s="158"/>
      <c r="N82" s="158"/>
      <c r="O82" s="158"/>
      <c r="P82" s="158"/>
    </row>
    <row r="83" spans="1:16" ht="16.2" x14ac:dyDescent="0.3">
      <c r="A83" s="626"/>
      <c r="B83" s="185" t="s">
        <v>138</v>
      </c>
      <c r="C83" s="208">
        <v>36.549999999999997</v>
      </c>
      <c r="D83" s="209" t="s">
        <v>190</v>
      </c>
      <c r="E83" s="209" t="s">
        <v>190</v>
      </c>
      <c r="F83" s="628" t="s">
        <v>193</v>
      </c>
      <c r="G83" s="629"/>
      <c r="H83" s="629"/>
      <c r="I83" s="619" t="s">
        <v>66</v>
      </c>
      <c r="J83" s="619"/>
      <c r="K83" s="619"/>
      <c r="M83" s="158"/>
      <c r="N83" s="158"/>
      <c r="O83" s="158"/>
      <c r="P83" s="158"/>
    </row>
    <row r="84" spans="1:16" ht="45" customHeight="1" x14ac:dyDescent="0.3">
      <c r="A84" s="626"/>
      <c r="B84" s="185" t="s">
        <v>194</v>
      </c>
      <c r="C84" s="208">
        <v>19.73</v>
      </c>
      <c r="D84" s="209" t="s">
        <v>190</v>
      </c>
      <c r="E84" s="209" t="s">
        <v>190</v>
      </c>
      <c r="F84" s="628" t="s">
        <v>191</v>
      </c>
      <c r="G84" s="629"/>
      <c r="H84" s="629"/>
      <c r="I84" s="630" t="s">
        <v>66</v>
      </c>
      <c r="J84" s="630"/>
      <c r="K84" s="630"/>
      <c r="M84" s="158"/>
      <c r="N84" s="158"/>
      <c r="O84" s="158"/>
      <c r="P84" s="158"/>
    </row>
    <row r="85" spans="1:16" x14ac:dyDescent="0.3">
      <c r="A85" s="627"/>
      <c r="B85" s="185" t="s">
        <v>195</v>
      </c>
      <c r="C85" s="208">
        <v>25.6</v>
      </c>
      <c r="D85" s="209" t="s">
        <v>190</v>
      </c>
      <c r="E85" s="209" t="s">
        <v>190</v>
      </c>
      <c r="F85" s="628" t="s">
        <v>196</v>
      </c>
      <c r="G85" s="629"/>
      <c r="H85" s="629"/>
      <c r="I85" s="619" t="s">
        <v>66</v>
      </c>
      <c r="J85" s="619"/>
      <c r="K85" s="619"/>
      <c r="M85" s="158"/>
      <c r="N85" s="158"/>
      <c r="O85" s="158"/>
      <c r="P85" s="158"/>
    </row>
    <row r="86" spans="1:16" x14ac:dyDescent="0.3">
      <c r="A86" s="626" t="s">
        <v>163</v>
      </c>
      <c r="B86" s="185" t="s">
        <v>197</v>
      </c>
      <c r="C86" s="208">
        <v>42.21</v>
      </c>
      <c r="D86" s="209" t="s">
        <v>190</v>
      </c>
      <c r="E86" s="209" t="s">
        <v>190</v>
      </c>
      <c r="F86" s="628" t="s">
        <v>198</v>
      </c>
      <c r="G86" s="629"/>
      <c r="H86" s="629"/>
      <c r="I86" s="619" t="s">
        <v>66</v>
      </c>
      <c r="J86" s="619"/>
      <c r="K86" s="619"/>
      <c r="M86" s="158"/>
      <c r="N86" s="158"/>
      <c r="O86" s="158"/>
      <c r="P86" s="158"/>
    </row>
    <row r="87" spans="1:16" x14ac:dyDescent="0.3">
      <c r="A87" s="626"/>
      <c r="B87" s="185" t="s">
        <v>199</v>
      </c>
      <c r="C87" s="208">
        <v>42.21</v>
      </c>
      <c r="D87" s="209" t="s">
        <v>190</v>
      </c>
      <c r="E87" s="209" t="s">
        <v>190</v>
      </c>
      <c r="F87" s="628" t="s">
        <v>198</v>
      </c>
      <c r="G87" s="629"/>
      <c r="H87" s="629"/>
      <c r="I87" s="619" t="s">
        <v>66</v>
      </c>
      <c r="J87" s="619"/>
      <c r="K87" s="619"/>
      <c r="M87" s="158"/>
      <c r="N87" s="158"/>
      <c r="O87" s="158"/>
      <c r="P87" s="158"/>
    </row>
    <row r="88" spans="1:16" x14ac:dyDescent="0.3">
      <c r="A88" s="627"/>
      <c r="B88" s="185" t="s">
        <v>200</v>
      </c>
      <c r="C88" s="208">
        <v>18.100000000000001</v>
      </c>
      <c r="D88" s="209" t="s">
        <v>190</v>
      </c>
      <c r="E88" s="209" t="s">
        <v>190</v>
      </c>
      <c r="F88" s="628" t="s">
        <v>196</v>
      </c>
      <c r="G88" s="629"/>
      <c r="H88" s="629"/>
      <c r="I88" s="619" t="s">
        <v>66</v>
      </c>
      <c r="J88" s="619"/>
      <c r="K88" s="619"/>
      <c r="M88" s="158"/>
      <c r="N88" s="158"/>
      <c r="O88" s="158"/>
      <c r="P88" s="158"/>
    </row>
    <row r="89" spans="1:16" ht="15" customHeight="1" x14ac:dyDescent="0.3">
      <c r="A89" s="295" t="s">
        <v>201</v>
      </c>
      <c r="B89" s="203" t="s">
        <v>202</v>
      </c>
      <c r="C89" s="210">
        <v>22.000367440000002</v>
      </c>
      <c r="D89" s="209" t="s">
        <v>190</v>
      </c>
      <c r="E89" s="209" t="s">
        <v>190</v>
      </c>
      <c r="F89" s="604" t="s">
        <v>167</v>
      </c>
      <c r="G89" s="604"/>
      <c r="H89" s="604"/>
      <c r="I89" s="619"/>
      <c r="J89" s="619"/>
      <c r="K89" s="619"/>
      <c r="M89" s="158"/>
      <c r="N89" s="158"/>
      <c r="O89" s="158"/>
      <c r="P89" s="158"/>
    </row>
    <row r="90" spans="1:16" ht="16.2" x14ac:dyDescent="0.3">
      <c r="A90" s="296" t="s">
        <v>203</v>
      </c>
      <c r="B90" s="158"/>
      <c r="C90" s="158"/>
      <c r="D90" s="158"/>
      <c r="E90" s="158"/>
      <c r="F90" s="158"/>
      <c r="G90" s="158"/>
      <c r="H90" s="158"/>
      <c r="I90" s="158"/>
    </row>
    <row r="91" spans="1:16" ht="16.2" x14ac:dyDescent="0.3">
      <c r="A91" s="192" t="s">
        <v>204</v>
      </c>
      <c r="B91" s="158"/>
      <c r="C91" s="158"/>
      <c r="D91" s="158"/>
      <c r="E91" s="158"/>
      <c r="F91" s="158"/>
      <c r="G91" s="158"/>
      <c r="H91" s="158"/>
      <c r="I91" s="158"/>
      <c r="J91" s="158"/>
    </row>
    <row r="92" spans="1:16" ht="14.4" customHeight="1" x14ac:dyDescent="0.3">
      <c r="A92" s="192"/>
      <c r="B92" s="158"/>
      <c r="C92" s="158"/>
      <c r="D92" s="158"/>
      <c r="E92" s="158"/>
      <c r="F92" s="158"/>
      <c r="G92" s="158"/>
      <c r="H92" s="158"/>
      <c r="I92" s="158"/>
    </row>
    <row r="93" spans="1:16" ht="16.2" x14ac:dyDescent="0.3">
      <c r="A93" s="188"/>
      <c r="B93" s="158"/>
      <c r="C93" s="158"/>
      <c r="D93" s="158"/>
      <c r="E93" s="158"/>
      <c r="F93" s="158"/>
      <c r="G93" s="158"/>
      <c r="H93" s="158"/>
      <c r="I93" s="158"/>
      <c r="J93" s="158"/>
      <c r="K93" s="158"/>
      <c r="L93" s="158"/>
      <c r="M93" s="158"/>
      <c r="N93" s="158"/>
      <c r="O93" s="158"/>
      <c r="P93" s="158"/>
    </row>
    <row r="94" spans="1:16" x14ac:dyDescent="0.3">
      <c r="A94" s="176"/>
      <c r="B94" s="158"/>
      <c r="C94" s="158"/>
      <c r="D94" s="158"/>
      <c r="E94" s="158"/>
      <c r="F94" s="158"/>
      <c r="G94" s="158"/>
      <c r="H94" s="158"/>
      <c r="I94" s="158"/>
      <c r="J94" s="158"/>
      <c r="K94" s="158"/>
      <c r="L94" s="158"/>
      <c r="M94" s="158"/>
      <c r="N94" s="158"/>
      <c r="O94" s="158"/>
      <c r="P94" s="158"/>
    </row>
    <row r="95" spans="1:16" x14ac:dyDescent="0.3">
      <c r="A95" s="176"/>
      <c r="B95" s="158"/>
      <c r="C95" s="158"/>
      <c r="D95" s="158"/>
      <c r="E95" s="158"/>
      <c r="F95" s="158"/>
      <c r="G95" s="158"/>
      <c r="H95" s="158"/>
      <c r="I95" s="158"/>
      <c r="J95" s="158"/>
      <c r="K95" s="158"/>
      <c r="L95" s="158"/>
      <c r="M95" s="158"/>
      <c r="N95" s="158"/>
      <c r="O95" s="158"/>
      <c r="P95" s="158"/>
    </row>
    <row r="96" spans="1:16" s="174" customFormat="1" x14ac:dyDescent="0.3">
      <c r="A96" s="172" t="s">
        <v>205</v>
      </c>
      <c r="B96" s="173" t="s">
        <v>66</v>
      </c>
      <c r="C96" s="173" t="s">
        <v>66</v>
      </c>
      <c r="D96" s="173" t="s">
        <v>66</v>
      </c>
      <c r="E96" s="173" t="s">
        <v>66</v>
      </c>
      <c r="F96" s="173" t="s">
        <v>66</v>
      </c>
      <c r="G96" s="173" t="s">
        <v>66</v>
      </c>
      <c r="H96" s="173" t="s">
        <v>66</v>
      </c>
      <c r="I96" s="173" t="s">
        <v>66</v>
      </c>
      <c r="J96" s="173" t="s">
        <v>66</v>
      </c>
      <c r="K96" s="173" t="s">
        <v>66</v>
      </c>
      <c r="L96" s="173" t="s">
        <v>66</v>
      </c>
      <c r="M96" s="173" t="s">
        <v>66</v>
      </c>
      <c r="N96" s="173" t="s">
        <v>66</v>
      </c>
      <c r="O96" s="173" t="s">
        <v>66</v>
      </c>
      <c r="P96" s="173" t="s">
        <v>66</v>
      </c>
    </row>
    <row r="97" spans="1:16" x14ac:dyDescent="0.3">
      <c r="A97" s="176"/>
      <c r="B97" s="158"/>
      <c r="C97" s="158"/>
      <c r="D97" s="158"/>
      <c r="E97" s="158"/>
      <c r="F97" s="158"/>
      <c r="G97" s="189"/>
      <c r="H97" s="189"/>
      <c r="I97" s="189"/>
      <c r="J97" s="189"/>
      <c r="K97" s="189"/>
      <c r="L97" s="189"/>
      <c r="M97" s="158"/>
      <c r="N97" s="158"/>
      <c r="O97" s="158"/>
      <c r="P97" s="158"/>
    </row>
    <row r="98" spans="1:16" x14ac:dyDescent="0.3">
      <c r="A98" s="177" t="s">
        <v>206</v>
      </c>
      <c r="B98" s="160" t="s">
        <v>187</v>
      </c>
      <c r="C98" s="606" t="s">
        <v>128</v>
      </c>
      <c r="D98" s="606"/>
      <c r="E98" s="607"/>
      <c r="F98" s="158"/>
      <c r="G98" s="189"/>
      <c r="H98" s="189"/>
      <c r="I98" s="189"/>
      <c r="J98" s="189"/>
      <c r="K98" s="189"/>
      <c r="L98" s="189"/>
      <c r="M98" s="158"/>
      <c r="N98" s="158"/>
      <c r="O98" s="158"/>
      <c r="P98" s="158"/>
    </row>
    <row r="99" spans="1:16" x14ac:dyDescent="0.3">
      <c r="A99" s="175" t="s">
        <v>207</v>
      </c>
      <c r="B99" s="165">
        <v>794.10135390000005</v>
      </c>
      <c r="C99" s="604" t="s">
        <v>167</v>
      </c>
      <c r="D99" s="604"/>
      <c r="E99" s="608"/>
      <c r="F99" s="158"/>
      <c r="G99" s="189"/>
      <c r="H99" s="189"/>
      <c r="I99" s="189"/>
      <c r="J99" s="189"/>
      <c r="K99" s="189"/>
      <c r="L99" s="189"/>
      <c r="M99" s="158"/>
      <c r="N99" s="158"/>
      <c r="O99" s="158"/>
      <c r="P99" s="158"/>
    </row>
    <row r="100" spans="1:16" x14ac:dyDescent="0.3">
      <c r="A100" s="175" t="s">
        <v>180</v>
      </c>
      <c r="B100" s="342">
        <v>8.5199999999999998E-2</v>
      </c>
      <c r="C100" s="604" t="s">
        <v>181</v>
      </c>
      <c r="D100" s="604"/>
      <c r="E100" s="608"/>
      <c r="F100" s="158"/>
      <c r="G100" s="189"/>
      <c r="H100" s="189"/>
      <c r="I100" s="189"/>
      <c r="J100" s="189"/>
      <c r="K100" s="189"/>
      <c r="L100" s="189"/>
      <c r="M100" s="158"/>
      <c r="N100" s="158"/>
      <c r="O100" s="158"/>
      <c r="P100" s="158"/>
    </row>
    <row r="101" spans="1:16" x14ac:dyDescent="0.3">
      <c r="A101" s="175" t="s">
        <v>182</v>
      </c>
      <c r="B101" s="168">
        <v>70.8</v>
      </c>
      <c r="C101" s="604" t="s">
        <v>167</v>
      </c>
      <c r="D101" s="604"/>
      <c r="E101" s="608"/>
      <c r="F101" s="158"/>
      <c r="G101" s="189"/>
      <c r="H101" s="189"/>
      <c r="I101" s="189"/>
      <c r="J101" s="189"/>
      <c r="K101" s="189"/>
      <c r="L101" s="189"/>
      <c r="M101" s="158"/>
      <c r="N101" s="158"/>
      <c r="O101" s="158"/>
      <c r="P101" s="158"/>
    </row>
    <row r="102" spans="1:16" x14ac:dyDescent="0.3">
      <c r="A102" s="158"/>
      <c r="B102" s="158"/>
      <c r="C102" s="158"/>
      <c r="D102" s="158"/>
      <c r="E102" s="158"/>
      <c r="F102" s="158"/>
      <c r="G102" s="158"/>
      <c r="H102" s="158"/>
      <c r="I102" s="158"/>
      <c r="J102" s="158"/>
      <c r="K102" s="158"/>
      <c r="L102" s="158"/>
      <c r="M102" s="158"/>
      <c r="N102" s="158"/>
      <c r="O102" s="158"/>
      <c r="P102" s="158"/>
    </row>
    <row r="103" spans="1:16" x14ac:dyDescent="0.3">
      <c r="A103" s="158"/>
      <c r="B103" s="158"/>
      <c r="C103" s="158"/>
      <c r="D103" s="158"/>
      <c r="E103" s="158"/>
      <c r="F103" s="158"/>
      <c r="G103" s="158"/>
      <c r="H103" s="158"/>
      <c r="I103" s="158"/>
      <c r="J103" s="158"/>
      <c r="K103" s="158"/>
      <c r="L103" s="158"/>
      <c r="M103" s="158"/>
      <c r="N103" s="158"/>
      <c r="O103" s="158"/>
      <c r="P103" s="158"/>
    </row>
    <row r="104" spans="1:16" s="174" customFormat="1" x14ac:dyDescent="0.3">
      <c r="A104" s="172" t="s">
        <v>208</v>
      </c>
      <c r="B104" s="173" t="s">
        <v>66</v>
      </c>
      <c r="C104" s="173" t="s">
        <v>66</v>
      </c>
      <c r="D104" s="173" t="s">
        <v>66</v>
      </c>
      <c r="E104" s="173" t="s">
        <v>66</v>
      </c>
      <c r="F104" s="173" t="s">
        <v>66</v>
      </c>
      <c r="G104" s="173" t="s">
        <v>66</v>
      </c>
      <c r="H104" s="173" t="s">
        <v>66</v>
      </c>
      <c r="I104" s="173" t="s">
        <v>66</v>
      </c>
      <c r="J104" s="173" t="s">
        <v>66</v>
      </c>
      <c r="K104" s="173" t="s">
        <v>66</v>
      </c>
      <c r="L104" s="173" t="s">
        <v>66</v>
      </c>
      <c r="M104" s="173" t="s">
        <v>66</v>
      </c>
      <c r="N104" s="173" t="s">
        <v>66</v>
      </c>
      <c r="O104" s="173" t="s">
        <v>66</v>
      </c>
      <c r="P104" s="173" t="s">
        <v>66</v>
      </c>
    </row>
    <row r="105" spans="1:16" x14ac:dyDescent="0.3">
      <c r="A105" s="158"/>
      <c r="B105" s="158"/>
      <c r="C105" s="158"/>
      <c r="D105" s="158"/>
      <c r="E105" s="158"/>
      <c r="F105" s="158"/>
      <c r="G105" s="158"/>
      <c r="H105" s="158"/>
      <c r="I105" s="158"/>
      <c r="J105" s="158"/>
      <c r="K105" s="158"/>
      <c r="L105" s="158"/>
      <c r="M105" s="158"/>
      <c r="N105" s="158"/>
      <c r="O105" s="158"/>
      <c r="P105" s="158"/>
    </row>
    <row r="106" spans="1:16" x14ac:dyDescent="0.3">
      <c r="A106" s="177" t="s">
        <v>209</v>
      </c>
      <c r="B106" s="157" t="s">
        <v>210</v>
      </c>
      <c r="C106" s="160" t="s">
        <v>211</v>
      </c>
      <c r="D106" s="613" t="s">
        <v>128</v>
      </c>
      <c r="E106" s="613"/>
      <c r="F106" s="614"/>
      <c r="G106" s="160" t="s">
        <v>187</v>
      </c>
      <c r="H106" s="613" t="s">
        <v>128</v>
      </c>
      <c r="I106" s="613"/>
      <c r="J106" s="614"/>
      <c r="K106" s="160" t="s">
        <v>160</v>
      </c>
      <c r="L106" s="613" t="s">
        <v>128</v>
      </c>
      <c r="M106" s="613"/>
      <c r="N106" s="614"/>
      <c r="O106" s="158"/>
      <c r="P106" s="158"/>
    </row>
    <row r="107" spans="1:16" x14ac:dyDescent="0.3">
      <c r="A107" s="635" t="s">
        <v>212</v>
      </c>
      <c r="B107" s="190" t="s">
        <v>213</v>
      </c>
      <c r="C107" s="181">
        <v>46.32</v>
      </c>
      <c r="D107" s="637" t="s">
        <v>214</v>
      </c>
      <c r="E107" s="637"/>
      <c r="F107" s="638"/>
      <c r="G107" s="169">
        <v>807.4</v>
      </c>
      <c r="H107" s="637" t="s">
        <v>215</v>
      </c>
      <c r="I107" s="637"/>
      <c r="J107" s="638"/>
      <c r="K107" s="161">
        <v>37.4</v>
      </c>
      <c r="L107" s="637" t="s">
        <v>215</v>
      </c>
      <c r="M107" s="637"/>
      <c r="N107" s="638"/>
      <c r="O107" s="158"/>
      <c r="P107" s="158"/>
    </row>
    <row r="108" spans="1:16" x14ac:dyDescent="0.3">
      <c r="A108" s="635"/>
      <c r="B108" s="190" t="s">
        <v>216</v>
      </c>
      <c r="C108" s="181">
        <v>28.37</v>
      </c>
      <c r="D108" s="637" t="s">
        <v>215</v>
      </c>
      <c r="E108" s="637"/>
      <c r="F108" s="638"/>
      <c r="G108" s="196" t="s">
        <v>217</v>
      </c>
      <c r="H108" s="639" t="s">
        <v>217</v>
      </c>
      <c r="I108" s="637"/>
      <c r="J108" s="638"/>
      <c r="K108" s="194" t="s">
        <v>217</v>
      </c>
      <c r="L108" s="639" t="s">
        <v>217</v>
      </c>
      <c r="M108" s="637"/>
      <c r="N108" s="638"/>
      <c r="O108" s="158"/>
      <c r="P108" s="158"/>
    </row>
    <row r="109" spans="1:16" x14ac:dyDescent="0.3">
      <c r="A109" s="635"/>
      <c r="B109" s="190" t="s">
        <v>218</v>
      </c>
      <c r="C109" s="181">
        <v>16.29</v>
      </c>
      <c r="D109" s="637" t="s">
        <v>215</v>
      </c>
      <c r="E109" s="637"/>
      <c r="F109" s="638"/>
      <c r="G109" s="196" t="s">
        <v>217</v>
      </c>
      <c r="H109" s="639" t="s">
        <v>217</v>
      </c>
      <c r="I109" s="637"/>
      <c r="J109" s="638"/>
      <c r="K109" s="194" t="s">
        <v>217</v>
      </c>
      <c r="L109" s="639" t="s">
        <v>217</v>
      </c>
      <c r="M109" s="637"/>
      <c r="N109" s="638"/>
      <c r="O109" s="158"/>
      <c r="P109" s="158"/>
    </row>
    <row r="110" spans="1:16" x14ac:dyDescent="0.3">
      <c r="A110" s="635"/>
      <c r="B110" s="190" t="s">
        <v>219</v>
      </c>
      <c r="C110" s="181">
        <v>18.440000000000001</v>
      </c>
      <c r="D110" s="637" t="s">
        <v>215</v>
      </c>
      <c r="E110" s="637"/>
      <c r="F110" s="638"/>
      <c r="G110" s="196" t="s">
        <v>217</v>
      </c>
      <c r="H110" s="639" t="s">
        <v>217</v>
      </c>
      <c r="I110" s="637"/>
      <c r="J110" s="638"/>
      <c r="K110" s="194" t="s">
        <v>217</v>
      </c>
      <c r="L110" s="639" t="s">
        <v>217</v>
      </c>
      <c r="M110" s="637"/>
      <c r="N110" s="638"/>
      <c r="O110" s="158"/>
      <c r="P110" s="158"/>
    </row>
    <row r="111" spans="1:16" x14ac:dyDescent="0.3">
      <c r="A111" s="635"/>
      <c r="B111" s="447" t="s">
        <v>220</v>
      </c>
      <c r="C111" s="181">
        <v>45.5</v>
      </c>
      <c r="D111" s="604" t="s">
        <v>161</v>
      </c>
      <c r="E111" s="604"/>
      <c r="F111" s="608"/>
      <c r="G111" s="169">
        <v>842.9</v>
      </c>
      <c r="H111" s="637" t="s">
        <v>215</v>
      </c>
      <c r="I111" s="637"/>
      <c r="J111" s="638"/>
      <c r="K111" s="161">
        <v>38.35</v>
      </c>
      <c r="L111" s="637" t="s">
        <v>214</v>
      </c>
      <c r="M111" s="637"/>
      <c r="N111" s="638"/>
      <c r="O111" s="158"/>
      <c r="P111" s="158"/>
    </row>
    <row r="112" spans="1:16" x14ac:dyDescent="0.3">
      <c r="A112" s="635"/>
      <c r="B112" s="448" t="s">
        <v>221</v>
      </c>
      <c r="C112" s="181">
        <v>45.8</v>
      </c>
      <c r="D112" s="604" t="s">
        <v>161</v>
      </c>
      <c r="E112" s="604"/>
      <c r="F112" s="608"/>
      <c r="G112" s="169">
        <v>730.4</v>
      </c>
      <c r="H112" s="637" t="s">
        <v>215</v>
      </c>
      <c r="I112" s="637"/>
      <c r="J112" s="638"/>
      <c r="K112" s="161">
        <v>33.450000000000003</v>
      </c>
      <c r="L112" s="637" t="s">
        <v>214</v>
      </c>
      <c r="M112" s="637"/>
      <c r="N112" s="638"/>
      <c r="O112" s="158"/>
      <c r="P112" s="158"/>
    </row>
    <row r="113" spans="1:16" x14ac:dyDescent="0.3">
      <c r="A113" s="635"/>
      <c r="B113" s="190" t="s">
        <v>222</v>
      </c>
      <c r="C113" s="181">
        <v>42.81</v>
      </c>
      <c r="D113" s="637" t="s">
        <v>214</v>
      </c>
      <c r="E113" s="637"/>
      <c r="F113" s="638"/>
      <c r="G113" s="169">
        <v>992.8</v>
      </c>
      <c r="H113" s="637" t="s">
        <v>215</v>
      </c>
      <c r="I113" s="637"/>
      <c r="J113" s="638"/>
      <c r="K113" s="162">
        <v>42.5</v>
      </c>
      <c r="L113" s="637" t="s">
        <v>214</v>
      </c>
      <c r="M113" s="637"/>
      <c r="N113" s="638"/>
      <c r="O113" s="158"/>
      <c r="P113" s="158"/>
    </row>
    <row r="114" spans="1:16" x14ac:dyDescent="0.3">
      <c r="A114" s="635"/>
      <c r="B114" s="190" t="s">
        <v>223</v>
      </c>
      <c r="C114" s="181">
        <v>46.67</v>
      </c>
      <c r="D114" s="637" t="s">
        <v>214</v>
      </c>
      <c r="E114" s="637"/>
      <c r="F114" s="638"/>
      <c r="G114" s="169">
        <v>807.4</v>
      </c>
      <c r="H114" s="637" t="s">
        <v>215</v>
      </c>
      <c r="I114" s="637"/>
      <c r="J114" s="638"/>
      <c r="K114" s="163">
        <v>37.68</v>
      </c>
      <c r="L114" s="637" t="s">
        <v>214</v>
      </c>
      <c r="M114" s="637"/>
      <c r="N114" s="638"/>
      <c r="O114" s="158"/>
      <c r="P114" s="158"/>
    </row>
    <row r="115" spans="1:16" x14ac:dyDescent="0.3">
      <c r="A115" s="635"/>
      <c r="B115" s="190" t="s">
        <v>224</v>
      </c>
      <c r="C115" s="181">
        <v>46.22</v>
      </c>
      <c r="D115" s="637" t="s">
        <v>214</v>
      </c>
      <c r="E115" s="637"/>
      <c r="F115" s="638"/>
      <c r="G115" s="169">
        <v>839.5</v>
      </c>
      <c r="H115" s="637" t="s">
        <v>215</v>
      </c>
      <c r="I115" s="637"/>
      <c r="J115" s="638"/>
      <c r="K115" s="161">
        <v>38.799999999999997</v>
      </c>
      <c r="L115" s="637" t="s">
        <v>214</v>
      </c>
      <c r="M115" s="637"/>
      <c r="N115" s="638"/>
      <c r="O115" s="158"/>
      <c r="P115" s="158"/>
    </row>
    <row r="116" spans="1:16" ht="30" customHeight="1" x14ac:dyDescent="0.3">
      <c r="A116" s="635"/>
      <c r="B116" s="190" t="s">
        <v>225</v>
      </c>
      <c r="C116" s="181">
        <v>52.04</v>
      </c>
      <c r="D116" s="637" t="s">
        <v>214</v>
      </c>
      <c r="E116" s="637"/>
      <c r="F116" s="638"/>
      <c r="G116" s="169">
        <v>507.5</v>
      </c>
      <c r="H116" s="637" t="s">
        <v>215</v>
      </c>
      <c r="I116" s="637"/>
      <c r="J116" s="638"/>
      <c r="K116" s="161">
        <v>26.41</v>
      </c>
      <c r="L116" s="637" t="s">
        <v>214</v>
      </c>
      <c r="M116" s="637"/>
      <c r="N116" s="638"/>
      <c r="O116" s="158"/>
      <c r="P116" s="158"/>
    </row>
    <row r="117" spans="1:16" ht="45.6" customHeight="1" x14ac:dyDescent="0.3">
      <c r="A117" s="635"/>
      <c r="B117" s="190" t="s">
        <v>226</v>
      </c>
      <c r="C117" s="181">
        <v>54.03</v>
      </c>
      <c r="D117" s="604" t="s">
        <v>214</v>
      </c>
      <c r="E117" s="604"/>
      <c r="F117" s="608"/>
      <c r="G117" s="101">
        <v>0.71050000000000002</v>
      </c>
      <c r="H117" s="615" t="s">
        <v>227</v>
      </c>
      <c r="I117" s="615"/>
      <c r="J117" s="616"/>
      <c r="K117" s="171">
        <v>3.8388037815308897E-2</v>
      </c>
      <c r="L117" s="637" t="s">
        <v>167</v>
      </c>
      <c r="M117" s="637"/>
      <c r="N117" s="638"/>
      <c r="O117" s="158"/>
      <c r="P117" s="158"/>
    </row>
    <row r="118" spans="1:16" x14ac:dyDescent="0.3">
      <c r="A118" s="635"/>
      <c r="B118" s="190" t="s">
        <v>228</v>
      </c>
      <c r="C118" s="181">
        <v>55.21</v>
      </c>
      <c r="D118" s="604" t="s">
        <v>214</v>
      </c>
      <c r="E118" s="604"/>
      <c r="F118" s="608"/>
      <c r="G118" s="169">
        <v>428.2</v>
      </c>
      <c r="H118" s="604" t="s">
        <v>167</v>
      </c>
      <c r="I118" s="604"/>
      <c r="J118" s="608"/>
      <c r="K118" s="161">
        <v>23.64</v>
      </c>
      <c r="L118" s="338" t="s">
        <v>167</v>
      </c>
      <c r="M118" s="338"/>
      <c r="N118" s="339"/>
      <c r="O118" s="158"/>
      <c r="P118" s="158"/>
    </row>
    <row r="119" spans="1:16" x14ac:dyDescent="0.3">
      <c r="A119" s="635"/>
      <c r="B119" s="190" t="s">
        <v>229</v>
      </c>
      <c r="C119" s="181">
        <v>36.24</v>
      </c>
      <c r="D119" s="637" t="s">
        <v>214</v>
      </c>
      <c r="E119" s="637"/>
      <c r="F119" s="638"/>
      <c r="G119" s="169">
        <v>1199.3</v>
      </c>
      <c r="H119" s="637" t="s">
        <v>215</v>
      </c>
      <c r="I119" s="637"/>
      <c r="J119" s="638"/>
      <c r="K119" s="161">
        <v>43.46</v>
      </c>
      <c r="L119" s="637" t="s">
        <v>215</v>
      </c>
      <c r="M119" s="637"/>
      <c r="N119" s="638"/>
      <c r="O119" s="158"/>
      <c r="P119" s="158"/>
    </row>
    <row r="120" spans="1:16" x14ac:dyDescent="0.3">
      <c r="A120" s="635"/>
      <c r="B120" s="190" t="s">
        <v>230</v>
      </c>
      <c r="C120" s="181">
        <v>51.34</v>
      </c>
      <c r="D120" s="637" t="s">
        <v>214</v>
      </c>
      <c r="E120" s="637"/>
      <c r="F120" s="638"/>
      <c r="G120" s="205">
        <v>1.88391715</v>
      </c>
      <c r="H120" s="604" t="s">
        <v>167</v>
      </c>
      <c r="I120" s="604"/>
      <c r="J120" s="608"/>
      <c r="K120" s="171">
        <v>9.672030648100001E-2</v>
      </c>
      <c r="L120" s="637" t="s">
        <v>214</v>
      </c>
      <c r="M120" s="637"/>
      <c r="N120" s="638"/>
      <c r="O120" s="158"/>
      <c r="P120" s="158"/>
    </row>
    <row r="121" spans="1:16" x14ac:dyDescent="0.3">
      <c r="A121" s="635"/>
      <c r="B121" s="190" t="s">
        <v>231</v>
      </c>
      <c r="C121" s="181">
        <v>51.34</v>
      </c>
      <c r="D121" s="637" t="s">
        <v>214</v>
      </c>
      <c r="E121" s="637"/>
      <c r="F121" s="638"/>
      <c r="G121" s="169">
        <v>493</v>
      </c>
      <c r="H121" s="637" t="s">
        <v>215</v>
      </c>
      <c r="I121" s="637"/>
      <c r="J121" s="638"/>
      <c r="K121" s="161">
        <v>25.31</v>
      </c>
      <c r="L121" s="637" t="s">
        <v>215</v>
      </c>
      <c r="M121" s="637"/>
      <c r="N121" s="638"/>
      <c r="O121" s="158"/>
      <c r="P121" s="158"/>
    </row>
    <row r="122" spans="1:16" x14ac:dyDescent="0.3">
      <c r="A122" s="636"/>
      <c r="B122" s="190" t="s">
        <v>232</v>
      </c>
      <c r="C122" s="449">
        <v>46.22</v>
      </c>
      <c r="D122" s="637" t="s">
        <v>233</v>
      </c>
      <c r="E122" s="637"/>
      <c r="F122" s="638"/>
      <c r="G122" s="170">
        <v>839.5</v>
      </c>
      <c r="H122" s="637" t="s">
        <v>233</v>
      </c>
      <c r="I122" s="637"/>
      <c r="J122" s="638"/>
      <c r="K122" s="164">
        <v>38.799999999999997</v>
      </c>
      <c r="L122" s="637" t="s">
        <v>233</v>
      </c>
      <c r="M122" s="637"/>
      <c r="N122" s="638"/>
      <c r="O122" s="158"/>
      <c r="P122" s="158"/>
    </row>
    <row r="123" spans="1:16" x14ac:dyDescent="0.3">
      <c r="A123" s="191" t="s">
        <v>234</v>
      </c>
      <c r="B123" s="185" t="s">
        <v>235</v>
      </c>
      <c r="C123" s="161">
        <v>2.79</v>
      </c>
      <c r="D123" s="604" t="s">
        <v>236</v>
      </c>
      <c r="E123" s="604"/>
      <c r="F123" s="605"/>
      <c r="G123" s="197" t="s">
        <v>217</v>
      </c>
      <c r="H123" s="639" t="s">
        <v>217</v>
      </c>
      <c r="I123" s="637"/>
      <c r="J123" s="638"/>
      <c r="K123" s="195" t="s">
        <v>217</v>
      </c>
      <c r="L123" s="639" t="s">
        <v>217</v>
      </c>
      <c r="M123" s="637"/>
      <c r="N123" s="638"/>
      <c r="O123" s="158"/>
      <c r="P123" s="158"/>
    </row>
    <row r="124" spans="1:16" x14ac:dyDescent="0.3">
      <c r="A124" s="635" t="s">
        <v>237</v>
      </c>
      <c r="B124" s="185" t="s">
        <v>238</v>
      </c>
      <c r="C124" s="168">
        <v>18.3</v>
      </c>
      <c r="D124" s="647" t="s">
        <v>239</v>
      </c>
      <c r="E124" s="647"/>
      <c r="F124" s="648"/>
      <c r="G124" s="197" t="s">
        <v>217</v>
      </c>
      <c r="H124" s="639" t="s">
        <v>217</v>
      </c>
      <c r="I124" s="637"/>
      <c r="J124" s="638"/>
      <c r="K124" s="195" t="s">
        <v>217</v>
      </c>
      <c r="L124" s="639" t="s">
        <v>217</v>
      </c>
      <c r="M124" s="637"/>
      <c r="N124" s="638"/>
      <c r="O124" s="158"/>
      <c r="P124" s="158"/>
    </row>
    <row r="125" spans="1:16" x14ac:dyDescent="0.3">
      <c r="A125" s="635"/>
      <c r="B125" s="183" t="s">
        <v>240</v>
      </c>
      <c r="C125" s="184">
        <v>19.09</v>
      </c>
      <c r="D125" s="649" t="s">
        <v>241</v>
      </c>
      <c r="E125" s="649"/>
      <c r="F125" s="650"/>
      <c r="G125" s="197" t="s">
        <v>217</v>
      </c>
      <c r="H125" s="639" t="s">
        <v>217</v>
      </c>
      <c r="I125" s="637"/>
      <c r="J125" s="638"/>
      <c r="K125" s="195" t="s">
        <v>217</v>
      </c>
      <c r="L125" s="639" t="s">
        <v>217</v>
      </c>
      <c r="M125" s="637"/>
      <c r="N125" s="638"/>
      <c r="O125" s="176"/>
      <c r="P125" s="158"/>
    </row>
    <row r="126" spans="1:16" ht="29.1" customHeight="1" x14ac:dyDescent="0.3">
      <c r="A126" s="636"/>
      <c r="B126" s="159" t="s">
        <v>242</v>
      </c>
      <c r="C126" s="450">
        <v>18.89</v>
      </c>
      <c r="D126" s="651" t="s">
        <v>241</v>
      </c>
      <c r="E126" s="651"/>
      <c r="F126" s="651"/>
      <c r="G126" s="197" t="s">
        <v>217</v>
      </c>
      <c r="H126" s="652" t="s">
        <v>217</v>
      </c>
      <c r="I126" s="604"/>
      <c r="J126" s="605"/>
      <c r="K126" s="198" t="s">
        <v>217</v>
      </c>
      <c r="L126" s="653" t="s">
        <v>217</v>
      </c>
      <c r="M126" s="654"/>
      <c r="N126" s="654"/>
      <c r="O126" s="176"/>
      <c r="P126" s="158"/>
    </row>
    <row r="127" spans="1:16" ht="16.2" x14ac:dyDescent="0.3">
      <c r="A127" s="188" t="s">
        <v>243</v>
      </c>
      <c r="B127" s="158"/>
      <c r="C127" s="158"/>
      <c r="D127" s="158"/>
      <c r="E127" s="158"/>
      <c r="F127" s="158"/>
      <c r="G127" s="158"/>
      <c r="H127" s="158"/>
      <c r="I127" s="158"/>
    </row>
    <row r="128" spans="1:16" ht="16.2" x14ac:dyDescent="0.3">
      <c r="A128" s="192" t="s">
        <v>244</v>
      </c>
      <c r="B128" s="158"/>
      <c r="C128" s="158"/>
      <c r="D128" s="158"/>
      <c r="E128" s="158"/>
      <c r="F128" s="158"/>
      <c r="G128" s="158"/>
      <c r="H128" s="158"/>
      <c r="I128" s="158"/>
      <c r="J128" s="158"/>
    </row>
    <row r="129" spans="1:16" ht="16.2" x14ac:dyDescent="0.3">
      <c r="A129" s="188"/>
      <c r="B129" s="158"/>
      <c r="C129" s="158"/>
      <c r="D129" s="158"/>
      <c r="E129" s="158"/>
      <c r="F129" s="158"/>
      <c r="G129" s="158"/>
      <c r="H129" s="158"/>
      <c r="I129" s="158"/>
      <c r="J129" s="158"/>
    </row>
    <row r="130" spans="1:16" s="174" customFormat="1" x14ac:dyDescent="0.3">
      <c r="A130" s="172" t="s">
        <v>245</v>
      </c>
      <c r="B130" s="173" t="s">
        <v>66</v>
      </c>
      <c r="C130" s="173" t="s">
        <v>66</v>
      </c>
      <c r="D130" s="173" t="s">
        <v>66</v>
      </c>
      <c r="E130" s="173" t="s">
        <v>66</v>
      </c>
      <c r="F130" s="173" t="s">
        <v>66</v>
      </c>
      <c r="G130" s="173" t="s">
        <v>66</v>
      </c>
      <c r="H130" s="173" t="s">
        <v>66</v>
      </c>
      <c r="I130" s="173" t="s">
        <v>66</v>
      </c>
      <c r="J130" s="173" t="s">
        <v>66</v>
      </c>
      <c r="K130" s="173" t="s">
        <v>66</v>
      </c>
      <c r="L130" s="173" t="s">
        <v>66</v>
      </c>
      <c r="M130" s="173" t="s">
        <v>66</v>
      </c>
      <c r="N130" s="173" t="s">
        <v>66</v>
      </c>
      <c r="O130" s="173" t="s">
        <v>66</v>
      </c>
      <c r="P130" s="173" t="s">
        <v>66</v>
      </c>
    </row>
    <row r="132" spans="1:16" x14ac:dyDescent="0.3">
      <c r="A132" s="111" t="s">
        <v>246</v>
      </c>
      <c r="B132" s="111" t="s">
        <v>247</v>
      </c>
      <c r="C132" s="111" t="s">
        <v>248</v>
      </c>
      <c r="D132" s="111" t="s">
        <v>249</v>
      </c>
    </row>
    <row r="133" spans="1:16" x14ac:dyDescent="0.3">
      <c r="A133" s="641" t="s">
        <v>250</v>
      </c>
      <c r="B133" s="451" t="s">
        <v>251</v>
      </c>
      <c r="C133" s="77" t="s">
        <v>252</v>
      </c>
      <c r="D133" s="101">
        <v>80</v>
      </c>
    </row>
    <row r="134" spans="1:16" x14ac:dyDescent="0.3">
      <c r="A134" s="641"/>
      <c r="B134" s="452" t="s">
        <v>253</v>
      </c>
      <c r="C134" s="77" t="s">
        <v>254</v>
      </c>
      <c r="D134" s="101">
        <v>400</v>
      </c>
    </row>
    <row r="135" spans="1:16" x14ac:dyDescent="0.3">
      <c r="A135" s="641"/>
      <c r="B135" s="453" t="s">
        <v>255</v>
      </c>
      <c r="C135" s="77" t="s">
        <v>256</v>
      </c>
      <c r="D135" s="101">
        <v>300</v>
      </c>
    </row>
    <row r="136" spans="1:16" x14ac:dyDescent="0.3">
      <c r="A136" s="641" t="s">
        <v>257</v>
      </c>
      <c r="B136" s="451"/>
      <c r="C136" s="77" t="s">
        <v>252</v>
      </c>
      <c r="D136" s="101">
        <v>200</v>
      </c>
    </row>
    <row r="137" spans="1:16" x14ac:dyDescent="0.3">
      <c r="A137" s="641"/>
      <c r="B137" s="452" t="s">
        <v>129</v>
      </c>
      <c r="C137" s="77" t="s">
        <v>254</v>
      </c>
      <c r="D137" s="101">
        <v>1000</v>
      </c>
    </row>
    <row r="138" spans="1:16" x14ac:dyDescent="0.3">
      <c r="A138" s="641"/>
      <c r="B138" s="453"/>
      <c r="C138" s="77" t="s">
        <v>256</v>
      </c>
      <c r="D138" s="101">
        <v>600</v>
      </c>
    </row>
    <row r="139" spans="1:16" x14ac:dyDescent="0.3">
      <c r="A139" s="641" t="s">
        <v>163</v>
      </c>
      <c r="B139" s="5" t="s">
        <v>258</v>
      </c>
      <c r="C139" s="77" t="s">
        <v>252</v>
      </c>
      <c r="D139" s="101">
        <v>500</v>
      </c>
    </row>
    <row r="140" spans="1:16" x14ac:dyDescent="0.3">
      <c r="A140" s="641"/>
      <c r="B140" s="5" t="s">
        <v>259</v>
      </c>
      <c r="C140" s="77" t="s">
        <v>254</v>
      </c>
      <c r="D140" s="101">
        <v>2700</v>
      </c>
    </row>
    <row r="141" spans="1:16" x14ac:dyDescent="0.3">
      <c r="A141" s="641"/>
      <c r="B141" s="453" t="s">
        <v>260</v>
      </c>
      <c r="C141" s="77" t="s">
        <v>256</v>
      </c>
      <c r="D141" s="101">
        <v>1700</v>
      </c>
    </row>
    <row r="142" spans="1:16" x14ac:dyDescent="0.3">
      <c r="A142" s="642" t="s">
        <v>261</v>
      </c>
      <c r="B142" s="454" t="s">
        <v>258</v>
      </c>
      <c r="C142" s="455" t="s">
        <v>252</v>
      </c>
      <c r="D142" s="101">
        <v>500</v>
      </c>
      <c r="F142" s="28"/>
    </row>
    <row r="143" spans="1:16" x14ac:dyDescent="0.3">
      <c r="A143" s="643"/>
      <c r="B143" s="452" t="s">
        <v>259</v>
      </c>
      <c r="C143" s="455" t="s">
        <v>254</v>
      </c>
      <c r="D143" s="101">
        <v>2700</v>
      </c>
    </row>
    <row r="144" spans="1:16" x14ac:dyDescent="0.3">
      <c r="A144" s="643"/>
      <c r="B144" s="453" t="s">
        <v>260</v>
      </c>
      <c r="C144" s="455" t="s">
        <v>256</v>
      </c>
      <c r="D144" s="101">
        <v>1700</v>
      </c>
    </row>
    <row r="145" spans="1:16" ht="15" customHeight="1" x14ac:dyDescent="0.3">
      <c r="A145" s="643"/>
      <c r="B145" s="452" t="s">
        <v>251</v>
      </c>
      <c r="C145" s="77" t="s">
        <v>252</v>
      </c>
      <c r="D145" s="101">
        <v>90</v>
      </c>
    </row>
    <row r="146" spans="1:16" x14ac:dyDescent="0.3">
      <c r="A146" s="643"/>
      <c r="B146" s="452" t="s">
        <v>262</v>
      </c>
      <c r="C146" s="77" t="s">
        <v>254</v>
      </c>
      <c r="D146" s="101">
        <v>500</v>
      </c>
    </row>
    <row r="147" spans="1:16" x14ac:dyDescent="0.3">
      <c r="A147" s="644"/>
      <c r="B147" s="453" t="s">
        <v>253</v>
      </c>
      <c r="C147" s="77" t="s">
        <v>256</v>
      </c>
      <c r="D147" s="101">
        <v>300</v>
      </c>
    </row>
    <row r="148" spans="1:16" x14ac:dyDescent="0.3">
      <c r="A148" s="641" t="s">
        <v>263</v>
      </c>
      <c r="B148" s="451" t="s">
        <v>251</v>
      </c>
      <c r="C148" s="77" t="s">
        <v>252</v>
      </c>
      <c r="D148" s="101">
        <v>70</v>
      </c>
    </row>
    <row r="149" spans="1:16" x14ac:dyDescent="0.3">
      <c r="A149" s="641"/>
      <c r="B149" s="452" t="s">
        <v>264</v>
      </c>
      <c r="C149" s="77" t="s">
        <v>254</v>
      </c>
      <c r="D149" s="101">
        <v>400</v>
      </c>
    </row>
    <row r="150" spans="1:16" x14ac:dyDescent="0.3">
      <c r="A150" s="641"/>
      <c r="B150" s="453" t="s">
        <v>262</v>
      </c>
      <c r="C150" s="77" t="s">
        <v>256</v>
      </c>
      <c r="D150" s="101">
        <v>200</v>
      </c>
    </row>
    <row r="151" spans="1:16" x14ac:dyDescent="0.3">
      <c r="A151" s="298"/>
      <c r="D151" s="18"/>
    </row>
    <row r="152" spans="1:16" s="174" customFormat="1" x14ac:dyDescent="0.3">
      <c r="A152" s="275" t="s">
        <v>265</v>
      </c>
      <c r="B152" s="173"/>
      <c r="C152" s="173" t="s">
        <v>66</v>
      </c>
      <c r="D152" s="173" t="s">
        <v>66</v>
      </c>
      <c r="E152" s="173" t="s">
        <v>66</v>
      </c>
      <c r="F152" s="173" t="s">
        <v>66</v>
      </c>
      <c r="G152" s="173" t="s">
        <v>66</v>
      </c>
      <c r="H152" s="173" t="s">
        <v>66</v>
      </c>
      <c r="I152" s="173" t="s">
        <v>66</v>
      </c>
      <c r="J152" s="173" t="s">
        <v>66</v>
      </c>
      <c r="K152" s="173" t="s">
        <v>66</v>
      </c>
      <c r="L152" s="173" t="s">
        <v>66</v>
      </c>
      <c r="M152" s="173" t="s">
        <v>66</v>
      </c>
      <c r="N152" s="173" t="s">
        <v>66</v>
      </c>
      <c r="O152" s="173" t="s">
        <v>66</v>
      </c>
      <c r="P152" s="173" t="s">
        <v>66</v>
      </c>
    </row>
    <row r="154" spans="1:16" x14ac:dyDescent="0.3">
      <c r="A154" s="111" t="s">
        <v>246</v>
      </c>
      <c r="B154" s="111" t="s">
        <v>248</v>
      </c>
      <c r="C154" s="111" t="s">
        <v>249</v>
      </c>
    </row>
    <row r="155" spans="1:16" x14ac:dyDescent="0.3">
      <c r="A155" s="641" t="s">
        <v>36</v>
      </c>
      <c r="B155" s="77" t="s">
        <v>252</v>
      </c>
      <c r="C155" s="101">
        <v>300</v>
      </c>
    </row>
    <row r="156" spans="1:16" x14ac:dyDescent="0.3">
      <c r="A156" s="641"/>
      <c r="B156" s="77" t="s">
        <v>254</v>
      </c>
      <c r="C156" s="101">
        <v>1900</v>
      </c>
    </row>
    <row r="157" spans="1:16" x14ac:dyDescent="0.3">
      <c r="A157" s="641"/>
      <c r="B157" s="77" t="s">
        <v>256</v>
      </c>
      <c r="C157" s="101">
        <v>1200</v>
      </c>
    </row>
    <row r="158" spans="1:16" x14ac:dyDescent="0.3">
      <c r="A158" s="641" t="s">
        <v>163</v>
      </c>
      <c r="B158" s="77" t="s">
        <v>252</v>
      </c>
      <c r="C158" s="101">
        <v>500</v>
      </c>
    </row>
    <row r="159" spans="1:16" x14ac:dyDescent="0.3">
      <c r="A159" s="641"/>
      <c r="B159" s="77" t="s">
        <v>254</v>
      </c>
      <c r="C159" s="101">
        <v>2600</v>
      </c>
    </row>
    <row r="160" spans="1:16" x14ac:dyDescent="0.3">
      <c r="A160" s="641"/>
      <c r="B160" s="77" t="s">
        <v>256</v>
      </c>
      <c r="C160" s="101">
        <v>1600</v>
      </c>
    </row>
    <row r="161" spans="1:21" ht="24.75" customHeight="1" x14ac:dyDescent="0.3">
      <c r="A161" s="640" t="s">
        <v>266</v>
      </c>
      <c r="B161" s="77" t="s">
        <v>252</v>
      </c>
      <c r="C161" s="101">
        <v>600</v>
      </c>
    </row>
    <row r="162" spans="1:21" ht="24.75" customHeight="1" x14ac:dyDescent="0.3">
      <c r="A162" s="640"/>
      <c r="B162" s="77" t="s">
        <v>254</v>
      </c>
      <c r="C162" s="101">
        <v>3300</v>
      </c>
    </row>
    <row r="163" spans="1:21" ht="24.75" customHeight="1" x14ac:dyDescent="0.3">
      <c r="A163" s="640"/>
      <c r="B163" s="77" t="s">
        <v>256</v>
      </c>
      <c r="C163" s="101">
        <v>2100</v>
      </c>
    </row>
    <row r="165" spans="1:21" s="174" customFormat="1" x14ac:dyDescent="0.3">
      <c r="A165" s="275" t="s">
        <v>267</v>
      </c>
      <c r="B165" s="173"/>
      <c r="C165" s="173" t="s">
        <v>66</v>
      </c>
      <c r="D165" s="173" t="s">
        <v>66</v>
      </c>
      <c r="E165" s="173" t="s">
        <v>66</v>
      </c>
      <c r="F165" s="173" t="s">
        <v>66</v>
      </c>
      <c r="G165" s="173" t="s">
        <v>66</v>
      </c>
      <c r="H165" s="173" t="s">
        <v>66</v>
      </c>
      <c r="I165" s="173" t="s">
        <v>66</v>
      </c>
      <c r="J165" s="173" t="s">
        <v>66</v>
      </c>
      <c r="K165" s="173" t="s">
        <v>66</v>
      </c>
      <c r="L165" s="173" t="s">
        <v>66</v>
      </c>
      <c r="M165" s="173" t="s">
        <v>66</v>
      </c>
      <c r="N165" s="173" t="s">
        <v>66</v>
      </c>
      <c r="O165" s="173" t="s">
        <v>66</v>
      </c>
      <c r="P165" s="173" t="s">
        <v>66</v>
      </c>
    </row>
    <row r="166" spans="1:21" x14ac:dyDescent="0.3">
      <c r="G166" s="5"/>
    </row>
    <row r="167" spans="1:21" x14ac:dyDescent="0.3">
      <c r="A167" s="287" t="s">
        <v>268</v>
      </c>
      <c r="B167" s="287"/>
      <c r="C167" s="287"/>
      <c r="D167" s="51"/>
      <c r="E167" s="51"/>
      <c r="F167" s="51"/>
      <c r="G167" s="51"/>
      <c r="H167" s="51"/>
      <c r="I167" s="51"/>
      <c r="J167" s="51"/>
      <c r="K167" s="51"/>
      <c r="L167" s="51"/>
      <c r="M167" s="51"/>
      <c r="N167" s="51"/>
      <c r="O167" s="51"/>
      <c r="P167" s="51"/>
      <c r="Q167" s="51"/>
      <c r="R167" s="51"/>
      <c r="S167" s="51"/>
      <c r="T167" s="51"/>
      <c r="U167" s="51"/>
    </row>
    <row r="168" spans="1:21" ht="45" customHeight="1" x14ac:dyDescent="0.3">
      <c r="A168" s="299" t="s">
        <v>269</v>
      </c>
      <c r="B168" s="324" t="s">
        <v>270</v>
      </c>
      <c r="C168" s="324" t="s">
        <v>271</v>
      </c>
      <c r="D168" s="51"/>
      <c r="E168" s="51"/>
      <c r="G168" s="51"/>
      <c r="H168" s="51"/>
      <c r="I168" s="51"/>
      <c r="J168" s="51"/>
      <c r="K168" s="51"/>
      <c r="L168" s="51"/>
      <c r="M168" s="51"/>
      <c r="N168" s="51"/>
      <c r="O168" s="51"/>
      <c r="P168" s="51"/>
      <c r="Q168" s="51"/>
      <c r="R168" s="51"/>
      <c r="S168" s="51"/>
      <c r="T168" s="51"/>
      <c r="U168" s="51"/>
    </row>
    <row r="169" spans="1:21" x14ac:dyDescent="0.3">
      <c r="A169" s="300" t="s">
        <v>272</v>
      </c>
      <c r="B169" s="148">
        <v>6.51</v>
      </c>
      <c r="C169" s="302">
        <v>0.24</v>
      </c>
      <c r="D169" s="51"/>
      <c r="E169" s="51"/>
      <c r="F169" s="51"/>
      <c r="G169" s="51"/>
      <c r="H169" s="51"/>
      <c r="I169" s="51"/>
      <c r="J169" s="51"/>
      <c r="K169" s="51"/>
      <c r="L169" s="51"/>
      <c r="M169" s="51"/>
      <c r="N169" s="51"/>
      <c r="O169" s="51"/>
      <c r="P169" s="51"/>
      <c r="Q169" s="51"/>
      <c r="R169" s="51"/>
      <c r="S169" s="51"/>
      <c r="T169" s="51"/>
      <c r="U169" s="51"/>
    </row>
    <row r="170" spans="1:21" x14ac:dyDescent="0.3">
      <c r="A170" s="301" t="s">
        <v>273</v>
      </c>
      <c r="B170" s="303">
        <v>3.14</v>
      </c>
      <c r="C170" s="304">
        <v>0.19</v>
      </c>
      <c r="D170" s="51"/>
      <c r="E170" s="51"/>
      <c r="F170" s="51"/>
      <c r="G170" s="51"/>
      <c r="H170" s="51"/>
      <c r="I170" s="51"/>
      <c r="J170" s="51"/>
      <c r="K170" s="51"/>
      <c r="L170" s="51"/>
      <c r="M170" s="51"/>
      <c r="N170" s="51"/>
      <c r="O170" s="51"/>
      <c r="P170" s="51"/>
      <c r="Q170" s="51"/>
      <c r="R170" s="51"/>
      <c r="S170" s="51"/>
      <c r="T170" s="51"/>
      <c r="U170" s="51"/>
    </row>
    <row r="171" spans="1:21" x14ac:dyDescent="0.3">
      <c r="A171" s="301" t="s">
        <v>274</v>
      </c>
      <c r="B171" s="303">
        <v>0.19</v>
      </c>
      <c r="C171" s="304">
        <v>0.48</v>
      </c>
      <c r="D171" s="287"/>
      <c r="E171" s="51"/>
      <c r="F171" s="51"/>
      <c r="G171" s="51"/>
      <c r="H171" s="51"/>
      <c r="I171" s="51"/>
      <c r="J171" s="51"/>
      <c r="K171" s="51"/>
      <c r="L171" s="51"/>
      <c r="M171" s="51"/>
      <c r="N171" s="51"/>
      <c r="O171" s="51"/>
      <c r="P171" s="51"/>
      <c r="Q171" s="51"/>
      <c r="R171" s="51"/>
      <c r="S171" s="51"/>
      <c r="T171" s="51"/>
      <c r="U171" s="51"/>
    </row>
    <row r="172" spans="1:21" x14ac:dyDescent="0.3">
      <c r="A172" s="301" t="s">
        <v>275</v>
      </c>
      <c r="B172" s="303">
        <v>0.31</v>
      </c>
      <c r="C172" s="304">
        <v>0.48</v>
      </c>
      <c r="D172" s="287"/>
      <c r="E172" s="51"/>
      <c r="F172" s="51"/>
      <c r="G172" s="51"/>
      <c r="H172" s="51"/>
      <c r="I172" s="51"/>
      <c r="J172" s="51"/>
      <c r="K172" s="51"/>
      <c r="L172" s="51"/>
      <c r="M172" s="51"/>
      <c r="N172" s="51"/>
      <c r="O172" s="51"/>
      <c r="P172" s="51"/>
      <c r="Q172" s="51"/>
      <c r="R172" s="51"/>
      <c r="S172" s="51"/>
      <c r="T172" s="51"/>
      <c r="U172" s="51"/>
    </row>
    <row r="173" spans="1:21" x14ac:dyDescent="0.3">
      <c r="A173" s="301" t="s">
        <v>276</v>
      </c>
      <c r="B173" s="303">
        <v>0.02</v>
      </c>
      <c r="C173" s="304">
        <v>0.39</v>
      </c>
      <c r="D173" s="287"/>
      <c r="E173" s="51"/>
      <c r="F173" s="51"/>
      <c r="G173" s="51"/>
      <c r="H173" s="51"/>
      <c r="I173" s="51"/>
      <c r="J173" s="51"/>
      <c r="K173" s="51"/>
      <c r="L173" s="51"/>
      <c r="M173" s="51"/>
      <c r="N173" s="51"/>
      <c r="O173" s="51"/>
      <c r="P173" s="51"/>
      <c r="Q173" s="51"/>
      <c r="R173" s="51"/>
      <c r="S173" s="51"/>
      <c r="T173" s="51"/>
      <c r="U173" s="51"/>
    </row>
    <row r="174" spans="1:21" x14ac:dyDescent="0.3">
      <c r="A174" s="301" t="s">
        <v>277</v>
      </c>
      <c r="B174" s="303">
        <v>0.02</v>
      </c>
      <c r="C174" s="304">
        <v>0.36</v>
      </c>
      <c r="D174" s="287"/>
      <c r="E174" s="51"/>
      <c r="F174" s="51"/>
      <c r="G174" s="51"/>
      <c r="H174" s="51"/>
      <c r="I174" s="51"/>
      <c r="J174" s="51"/>
      <c r="K174" s="51"/>
      <c r="L174" s="51"/>
      <c r="M174" s="51"/>
      <c r="N174" s="51"/>
      <c r="O174" s="51"/>
      <c r="P174" s="51"/>
      <c r="Q174" s="51"/>
      <c r="R174" s="51"/>
      <c r="S174" s="51"/>
      <c r="T174" s="51"/>
      <c r="U174" s="51"/>
    </row>
    <row r="175" spans="1:21" x14ac:dyDescent="0.3">
      <c r="A175" s="301" t="s">
        <v>278</v>
      </c>
      <c r="B175" s="303">
        <v>0.6</v>
      </c>
      <c r="C175" s="304">
        <v>0.19</v>
      </c>
      <c r="D175" s="287"/>
      <c r="E175" s="51"/>
      <c r="F175" s="51"/>
      <c r="G175" s="51"/>
      <c r="H175" s="51"/>
      <c r="I175" s="51"/>
      <c r="J175" s="51"/>
      <c r="K175" s="51"/>
      <c r="L175" s="51"/>
      <c r="M175" s="51"/>
      <c r="N175" s="51"/>
      <c r="O175" s="51"/>
      <c r="P175" s="51"/>
      <c r="Q175" s="51"/>
      <c r="R175" s="51"/>
      <c r="S175" s="51"/>
      <c r="T175" s="51"/>
      <c r="U175" s="51"/>
    </row>
    <row r="176" spans="1:21" x14ac:dyDescent="0.3">
      <c r="A176" s="301" t="s">
        <v>279</v>
      </c>
      <c r="B176" s="303">
        <v>3.6</v>
      </c>
      <c r="C176" s="304">
        <v>0.3</v>
      </c>
      <c r="D176" s="287"/>
      <c r="E176" s="51"/>
      <c r="F176" s="51"/>
      <c r="G176" s="51"/>
      <c r="H176" s="51"/>
      <c r="I176" s="51"/>
      <c r="J176" s="51"/>
      <c r="K176" s="51"/>
      <c r="L176" s="51"/>
      <c r="M176" s="51"/>
      <c r="N176" s="51"/>
      <c r="O176" s="51"/>
      <c r="P176" s="51"/>
      <c r="Q176" s="51"/>
      <c r="R176" s="51"/>
      <c r="S176" s="51"/>
      <c r="T176" s="51"/>
      <c r="U176" s="51"/>
    </row>
    <row r="177" spans="1:21" x14ac:dyDescent="0.3">
      <c r="A177" s="301" t="s">
        <v>280</v>
      </c>
      <c r="B177" s="303">
        <v>0.72</v>
      </c>
      <c r="C177" s="304">
        <v>0.18</v>
      </c>
      <c r="D177" s="287"/>
      <c r="E177" s="51"/>
      <c r="F177" s="51"/>
      <c r="G177" s="51"/>
      <c r="H177" s="51"/>
      <c r="I177" s="51"/>
      <c r="J177" s="51"/>
      <c r="K177" s="51"/>
      <c r="L177" s="51"/>
      <c r="M177" s="51"/>
      <c r="N177" s="51"/>
      <c r="O177" s="51"/>
      <c r="P177" s="51"/>
      <c r="Q177" s="51"/>
      <c r="R177" s="51"/>
      <c r="S177" s="51"/>
      <c r="T177" s="51"/>
      <c r="U177" s="51"/>
    </row>
    <row r="178" spans="1:21" x14ac:dyDescent="0.3">
      <c r="A178" s="288" t="s">
        <v>217</v>
      </c>
      <c r="B178" s="51"/>
      <c r="C178" s="51"/>
      <c r="D178" s="51"/>
      <c r="E178" s="51"/>
      <c r="F178" s="51"/>
      <c r="G178" s="51"/>
      <c r="H178" s="51"/>
      <c r="I178" s="51"/>
      <c r="J178" s="51"/>
      <c r="K178" s="51"/>
      <c r="L178" s="51"/>
      <c r="M178" s="51"/>
      <c r="N178" s="51"/>
      <c r="O178" s="51"/>
      <c r="P178" s="51"/>
      <c r="Q178" s="51"/>
      <c r="R178" s="51"/>
      <c r="S178" s="51"/>
      <c r="T178" s="51"/>
      <c r="U178" s="51"/>
    </row>
    <row r="179" spans="1:21" x14ac:dyDescent="0.3">
      <c r="A179" s="305" t="s">
        <v>281</v>
      </c>
      <c r="B179" s="305"/>
      <c r="C179" s="31"/>
      <c r="D179" s="31"/>
      <c r="E179" s="31"/>
      <c r="F179" s="31"/>
      <c r="G179" s="31"/>
      <c r="H179" s="31"/>
      <c r="I179" s="31"/>
      <c r="J179" s="31"/>
      <c r="K179" s="31"/>
      <c r="L179" s="31"/>
      <c r="M179" s="31"/>
      <c r="N179" s="31"/>
      <c r="O179" s="31"/>
      <c r="P179" s="31"/>
      <c r="Q179" s="31"/>
      <c r="R179" s="31"/>
      <c r="S179" s="31"/>
      <c r="T179" s="31"/>
      <c r="U179" s="51"/>
    </row>
    <row r="180" spans="1:21" x14ac:dyDescent="0.3">
      <c r="A180" s="311" t="s">
        <v>282</v>
      </c>
      <c r="B180" s="311" t="s">
        <v>283</v>
      </c>
      <c r="C180" s="31"/>
      <c r="D180" s="31"/>
      <c r="E180" s="31"/>
      <c r="F180" s="31"/>
      <c r="G180" s="31"/>
      <c r="H180" s="31"/>
      <c r="I180" s="31"/>
      <c r="J180" s="31"/>
      <c r="K180" s="31"/>
      <c r="L180" s="31"/>
      <c r="M180" s="31"/>
      <c r="N180" s="31"/>
      <c r="O180" s="31"/>
      <c r="P180" s="31"/>
      <c r="Q180" s="31"/>
      <c r="R180" s="31"/>
      <c r="S180" s="31"/>
      <c r="T180" s="31"/>
      <c r="U180" s="51"/>
    </row>
    <row r="181" spans="1:21" x14ac:dyDescent="0.3">
      <c r="A181" s="149" t="s">
        <v>284</v>
      </c>
      <c r="B181" s="148">
        <v>0.05</v>
      </c>
      <c r="C181" s="31"/>
      <c r="D181" s="31"/>
      <c r="E181" s="31"/>
      <c r="F181" s="31"/>
      <c r="G181" s="31"/>
      <c r="H181" s="31"/>
      <c r="I181" s="31"/>
      <c r="J181" s="31"/>
      <c r="K181" s="31"/>
      <c r="L181" s="31"/>
      <c r="M181" s="31"/>
      <c r="N181" s="31"/>
      <c r="O181" s="31"/>
      <c r="P181" s="31"/>
      <c r="Q181" s="31"/>
      <c r="R181" s="31"/>
      <c r="S181" s="31"/>
      <c r="T181" s="31"/>
      <c r="U181" s="51"/>
    </row>
    <row r="182" spans="1:21" x14ac:dyDescent="0.3">
      <c r="A182" s="149" t="s">
        <v>285</v>
      </c>
      <c r="B182" s="148">
        <v>0.02</v>
      </c>
      <c r="C182" s="31"/>
      <c r="D182" s="31"/>
      <c r="E182" s="31"/>
      <c r="F182" s="31"/>
      <c r="G182" s="31"/>
      <c r="H182" s="31"/>
      <c r="I182" s="31"/>
      <c r="J182" s="31"/>
      <c r="K182" s="31"/>
      <c r="L182" s="31"/>
      <c r="M182" s="31"/>
      <c r="N182" s="31"/>
      <c r="O182" s="31"/>
      <c r="P182" s="31"/>
      <c r="Q182" s="31"/>
      <c r="R182" s="31"/>
      <c r="S182" s="31"/>
      <c r="T182" s="31"/>
      <c r="U182" s="51"/>
    </row>
    <row r="183" spans="1:21" x14ac:dyDescent="0.3">
      <c r="A183" s="31"/>
      <c r="B183" s="31"/>
      <c r="C183" s="31"/>
      <c r="D183" s="31"/>
      <c r="E183" s="31"/>
      <c r="F183" s="31"/>
      <c r="G183" s="31"/>
      <c r="H183" s="31"/>
      <c r="I183" s="31"/>
      <c r="J183" s="31"/>
      <c r="K183" s="31"/>
      <c r="L183" s="31"/>
      <c r="M183" s="31"/>
      <c r="N183" s="31"/>
      <c r="O183" s="31"/>
      <c r="P183" s="31"/>
      <c r="Q183" s="31"/>
      <c r="R183" s="31"/>
      <c r="S183" s="31"/>
      <c r="T183" s="31"/>
      <c r="U183" s="51"/>
    </row>
    <row r="184" spans="1:21" x14ac:dyDescent="0.3">
      <c r="A184" s="31"/>
      <c r="B184" s="31"/>
      <c r="C184" s="31"/>
      <c r="D184" s="31"/>
      <c r="E184" s="31"/>
      <c r="F184" s="31"/>
      <c r="G184" s="31"/>
      <c r="H184" s="31"/>
      <c r="I184" s="31"/>
      <c r="J184" s="31"/>
      <c r="K184" s="31"/>
      <c r="L184" s="31"/>
      <c r="M184" s="31"/>
      <c r="N184" s="31"/>
      <c r="O184" s="31"/>
      <c r="P184" s="31"/>
      <c r="Q184" s="31"/>
      <c r="R184" s="31"/>
      <c r="S184" s="31"/>
      <c r="T184" s="31"/>
      <c r="U184" s="51"/>
    </row>
    <row r="185" spans="1:21" x14ac:dyDescent="0.3">
      <c r="A185" s="305" t="s">
        <v>286</v>
      </c>
      <c r="B185" s="305"/>
      <c r="C185" s="31"/>
      <c r="D185" s="31"/>
      <c r="E185" s="31"/>
      <c r="F185" s="31"/>
      <c r="G185" s="31"/>
      <c r="H185" s="31"/>
      <c r="I185" s="31"/>
      <c r="J185" s="31"/>
      <c r="K185" s="31"/>
      <c r="L185" s="31"/>
      <c r="M185" s="31"/>
      <c r="N185" s="31"/>
      <c r="O185" s="31"/>
      <c r="P185" s="31"/>
      <c r="Q185" s="31"/>
      <c r="R185" s="31"/>
      <c r="S185" s="31"/>
      <c r="T185" s="31"/>
      <c r="U185" s="51"/>
    </row>
    <row r="186" spans="1:21" x14ac:dyDescent="0.3">
      <c r="A186" s="306" t="s">
        <v>287</v>
      </c>
      <c r="B186" s="307" t="s">
        <v>288</v>
      </c>
      <c r="C186" s="307" t="s">
        <v>289</v>
      </c>
      <c r="D186" s="31"/>
      <c r="E186" s="31"/>
      <c r="F186" s="31"/>
      <c r="G186" s="31"/>
      <c r="H186" s="31"/>
      <c r="I186" s="31"/>
      <c r="J186" s="31"/>
      <c r="K186" s="31"/>
      <c r="L186" s="31"/>
      <c r="M186" s="31"/>
      <c r="N186" s="31"/>
      <c r="O186" s="31"/>
      <c r="P186" s="31"/>
      <c r="Q186" s="31"/>
      <c r="R186" s="31"/>
      <c r="S186" s="31"/>
      <c r="T186" s="31"/>
      <c r="U186" s="51"/>
    </row>
    <row r="187" spans="1:21" x14ac:dyDescent="0.3">
      <c r="A187" s="308" t="s">
        <v>290</v>
      </c>
      <c r="B187" s="325">
        <v>308.16000000000003</v>
      </c>
      <c r="C187" s="309" t="s">
        <v>291</v>
      </c>
      <c r="D187" s="31"/>
      <c r="E187" s="31"/>
      <c r="F187" s="31"/>
      <c r="G187" s="31"/>
      <c r="H187" s="31"/>
      <c r="I187" s="31"/>
      <c r="J187" s="31"/>
      <c r="K187" s="31"/>
      <c r="L187" s="31"/>
      <c r="M187" s="31"/>
      <c r="N187" s="31"/>
      <c r="O187" s="31"/>
      <c r="P187" s="31"/>
      <c r="Q187" s="31"/>
      <c r="R187" s="31"/>
      <c r="S187" s="31"/>
      <c r="T187" s="31"/>
      <c r="U187" s="51"/>
    </row>
    <row r="188" spans="1:21" x14ac:dyDescent="0.3">
      <c r="A188" s="308" t="s">
        <v>292</v>
      </c>
      <c r="B188" s="325">
        <v>19347</v>
      </c>
      <c r="C188" s="309" t="s">
        <v>293</v>
      </c>
      <c r="D188" s="31"/>
      <c r="E188" s="31"/>
      <c r="F188" s="31"/>
      <c r="G188" s="31"/>
      <c r="H188" s="31"/>
      <c r="I188" s="31"/>
      <c r="J188" s="31"/>
      <c r="K188" s="31"/>
      <c r="L188" s="31"/>
      <c r="M188" s="31"/>
      <c r="N188" s="31"/>
      <c r="O188" s="31"/>
      <c r="P188" s="31"/>
      <c r="Q188" s="31"/>
      <c r="R188" s="31"/>
      <c r="S188" s="31"/>
      <c r="T188" s="31"/>
      <c r="U188" s="51"/>
    </row>
    <row r="189" spans="1:21" x14ac:dyDescent="0.3">
      <c r="A189" s="308" t="s">
        <v>294</v>
      </c>
      <c r="B189" s="325">
        <v>1.9870000000000001</v>
      </c>
      <c r="C189" s="309" t="s">
        <v>295</v>
      </c>
      <c r="D189" s="31"/>
      <c r="E189" s="31"/>
      <c r="F189" s="31"/>
      <c r="G189" s="31"/>
      <c r="H189" s="31"/>
      <c r="I189" s="31"/>
      <c r="J189" s="31"/>
      <c r="K189" s="31"/>
      <c r="L189" s="31"/>
      <c r="M189" s="31"/>
      <c r="N189" s="31"/>
      <c r="O189" s="31"/>
      <c r="P189" s="31"/>
      <c r="Q189" s="31"/>
      <c r="R189" s="31"/>
      <c r="S189" s="31"/>
      <c r="T189" s="31"/>
      <c r="U189" s="51"/>
    </row>
    <row r="190" spans="1:21" x14ac:dyDescent="0.3">
      <c r="A190" s="308" t="s">
        <v>296</v>
      </c>
      <c r="B190" s="325">
        <v>1</v>
      </c>
      <c r="C190" s="309" t="s">
        <v>297</v>
      </c>
      <c r="D190" s="31"/>
      <c r="E190" s="31"/>
      <c r="F190" s="31"/>
      <c r="G190" s="31"/>
      <c r="H190" s="31"/>
      <c r="I190" s="31"/>
      <c r="J190" s="31"/>
      <c r="K190" s="31"/>
      <c r="L190" s="31"/>
      <c r="M190" s="31"/>
      <c r="N190" s="31"/>
      <c r="O190" s="31"/>
      <c r="P190" s="31"/>
      <c r="Q190" s="31"/>
      <c r="R190" s="31"/>
      <c r="S190" s="31"/>
      <c r="T190" s="31"/>
      <c r="U190" s="51"/>
    </row>
    <row r="191" spans="1:21" x14ac:dyDescent="0.3">
      <c r="A191" s="308" t="s">
        <v>298</v>
      </c>
      <c r="B191" s="325">
        <v>3</v>
      </c>
      <c r="C191" s="309" t="s">
        <v>297</v>
      </c>
      <c r="D191" s="31"/>
      <c r="E191" s="31"/>
      <c r="F191" s="31"/>
      <c r="G191" s="31"/>
      <c r="H191" s="31"/>
      <c r="I191" s="31"/>
      <c r="J191" s="31"/>
      <c r="K191" s="31"/>
      <c r="L191" s="31"/>
      <c r="M191" s="31"/>
      <c r="N191" s="31"/>
      <c r="O191" s="31"/>
      <c r="P191" s="31"/>
      <c r="Q191" s="31"/>
      <c r="R191" s="31"/>
      <c r="S191" s="31"/>
      <c r="T191" s="31"/>
      <c r="U191" s="51"/>
    </row>
    <row r="192" spans="1:21" x14ac:dyDescent="0.3">
      <c r="A192" s="308" t="s">
        <v>299</v>
      </c>
      <c r="B192" s="326">
        <v>0.95</v>
      </c>
      <c r="C192" s="309" t="s">
        <v>300</v>
      </c>
      <c r="D192" s="31"/>
      <c r="E192" s="31"/>
      <c r="F192" s="31"/>
      <c r="G192" s="31"/>
      <c r="H192" s="31"/>
      <c r="I192" s="31"/>
      <c r="J192" s="31"/>
      <c r="K192" s="31"/>
      <c r="L192" s="31"/>
      <c r="M192" s="31"/>
      <c r="N192" s="31"/>
      <c r="O192" s="31"/>
      <c r="P192" s="31"/>
      <c r="Q192" s="31"/>
      <c r="R192" s="31"/>
      <c r="S192" s="31"/>
      <c r="T192" s="31"/>
      <c r="U192" s="51"/>
    </row>
    <row r="193" spans="1:21" x14ac:dyDescent="0.3">
      <c r="A193" s="308" t="s">
        <v>301</v>
      </c>
      <c r="B193" s="325">
        <v>0.67100000000000004</v>
      </c>
      <c r="C193" s="309" t="s">
        <v>302</v>
      </c>
      <c r="D193" s="31"/>
      <c r="E193" s="31"/>
      <c r="F193" s="31"/>
      <c r="G193" s="31"/>
      <c r="H193" s="31"/>
      <c r="I193" s="31"/>
      <c r="J193" s="31"/>
      <c r="K193" s="31"/>
      <c r="L193" s="31"/>
      <c r="M193" s="31"/>
      <c r="N193" s="31"/>
      <c r="O193" s="31"/>
      <c r="P193" s="31"/>
      <c r="Q193" s="31"/>
      <c r="R193" s="31"/>
      <c r="S193" s="31"/>
      <c r="T193" s="31"/>
      <c r="U193" s="51"/>
    </row>
    <row r="194" spans="1:21" x14ac:dyDescent="0.3">
      <c r="A194" s="31"/>
      <c r="B194" s="31"/>
      <c r="C194" s="31"/>
      <c r="D194" s="31"/>
      <c r="E194" s="31"/>
      <c r="F194" s="31"/>
      <c r="G194" s="31"/>
      <c r="H194" s="31"/>
      <c r="I194" s="31"/>
      <c r="J194" s="31"/>
      <c r="K194" s="31"/>
      <c r="L194" s="31"/>
      <c r="M194" s="31"/>
      <c r="N194" s="31"/>
      <c r="O194" s="31"/>
      <c r="P194" s="31"/>
      <c r="Q194" s="31"/>
      <c r="R194" s="31"/>
      <c r="S194" s="31"/>
      <c r="T194" s="31"/>
      <c r="U194" s="51"/>
    </row>
    <row r="195" spans="1:21" x14ac:dyDescent="0.3">
      <c r="A195" s="31"/>
      <c r="B195" s="31"/>
      <c r="C195" s="31"/>
      <c r="D195" s="31"/>
      <c r="E195" s="31"/>
      <c r="F195" s="31"/>
      <c r="G195" s="31"/>
      <c r="H195" s="31"/>
      <c r="I195" s="31"/>
      <c r="J195" s="31"/>
      <c r="K195" s="31"/>
      <c r="L195" s="31"/>
      <c r="M195" s="31"/>
      <c r="N195" s="31"/>
      <c r="O195" s="31"/>
      <c r="P195" s="31"/>
      <c r="Q195" s="31"/>
      <c r="R195" s="31"/>
      <c r="S195" s="31"/>
      <c r="T195" s="31"/>
      <c r="U195" s="51"/>
    </row>
    <row r="196" spans="1:21" x14ac:dyDescent="0.3">
      <c r="B196" s="305"/>
      <c r="C196" s="31"/>
      <c r="D196" s="31"/>
      <c r="E196" s="31"/>
      <c r="F196" s="31"/>
      <c r="G196" s="31"/>
      <c r="H196" s="31"/>
      <c r="I196" s="31"/>
      <c r="J196" s="31"/>
      <c r="K196" s="31"/>
      <c r="L196" s="31"/>
      <c r="M196" s="31"/>
      <c r="N196" s="31"/>
      <c r="O196" s="31"/>
      <c r="P196" s="31"/>
      <c r="Q196" s="31"/>
      <c r="R196" s="31"/>
      <c r="S196" s="31"/>
      <c r="T196" s="31"/>
      <c r="U196" s="51"/>
    </row>
    <row r="197" spans="1:21" x14ac:dyDescent="0.3">
      <c r="A197" s="310" t="s">
        <v>303</v>
      </c>
      <c r="B197" s="305"/>
      <c r="C197" s="305"/>
      <c r="D197" s="305"/>
      <c r="E197" s="305"/>
      <c r="F197" s="305"/>
      <c r="G197" s="305"/>
      <c r="H197" s="305"/>
      <c r="I197" s="305"/>
      <c r="J197" s="305"/>
      <c r="K197" s="305"/>
      <c r="L197" s="305"/>
      <c r="M197" s="305"/>
      <c r="N197" s="305"/>
      <c r="O197" s="305"/>
      <c r="P197" s="305"/>
      <c r="Q197" s="305"/>
      <c r="R197" s="305"/>
      <c r="S197" s="305"/>
      <c r="T197" s="305"/>
      <c r="U197" s="289"/>
    </row>
    <row r="198" spans="1:21" s="286" customFormat="1" ht="93.75" customHeight="1" x14ac:dyDescent="0.3">
      <c r="A198" s="312" t="s">
        <v>304</v>
      </c>
      <c r="B198" s="655" t="s">
        <v>305</v>
      </c>
      <c r="C198" s="655"/>
      <c r="D198" s="655"/>
      <c r="E198" s="655"/>
      <c r="F198" s="656"/>
      <c r="G198" s="655" t="s">
        <v>306</v>
      </c>
      <c r="H198" s="655"/>
      <c r="I198" s="655"/>
      <c r="J198" s="655"/>
      <c r="K198" s="655"/>
      <c r="L198" s="655"/>
      <c r="M198" s="655"/>
      <c r="N198" s="655"/>
      <c r="O198" s="655"/>
      <c r="P198" s="655"/>
      <c r="Q198" s="656"/>
      <c r="R198" s="655" t="s">
        <v>307</v>
      </c>
      <c r="S198" s="655"/>
      <c r="T198" s="655"/>
      <c r="U198" s="645"/>
    </row>
    <row r="199" spans="1:21" x14ac:dyDescent="0.3">
      <c r="A199" s="313" t="s">
        <v>308</v>
      </c>
      <c r="B199" s="314" t="s">
        <v>309</v>
      </c>
      <c r="C199" s="314">
        <v>11</v>
      </c>
      <c r="D199" s="314">
        <v>12</v>
      </c>
      <c r="E199" s="314">
        <v>13</v>
      </c>
      <c r="F199" s="314">
        <v>14</v>
      </c>
      <c r="G199" s="314">
        <v>15</v>
      </c>
      <c r="H199" s="314">
        <v>16</v>
      </c>
      <c r="I199" s="314">
        <v>17</v>
      </c>
      <c r="J199" s="314">
        <v>18</v>
      </c>
      <c r="K199" s="314">
        <v>19</v>
      </c>
      <c r="L199" s="314">
        <v>20</v>
      </c>
      <c r="M199" s="314">
        <v>21</v>
      </c>
      <c r="N199" s="314">
        <v>22</v>
      </c>
      <c r="O199" s="314">
        <v>23</v>
      </c>
      <c r="P199" s="314">
        <v>24</v>
      </c>
      <c r="Q199" s="314">
        <v>25</v>
      </c>
      <c r="R199" s="314">
        <v>26</v>
      </c>
      <c r="S199" s="314">
        <v>27</v>
      </c>
      <c r="T199" s="315" t="s">
        <v>310</v>
      </c>
      <c r="U199" s="646"/>
    </row>
    <row r="200" spans="1:21" x14ac:dyDescent="0.3">
      <c r="A200" s="316" t="s">
        <v>217</v>
      </c>
      <c r="B200" s="317" t="s">
        <v>66</v>
      </c>
      <c r="C200" s="317" t="s">
        <v>66</v>
      </c>
      <c r="D200" s="317" t="s">
        <v>66</v>
      </c>
      <c r="E200" s="317" t="s">
        <v>66</v>
      </c>
      <c r="F200" s="317" t="s">
        <v>66</v>
      </c>
      <c r="G200" s="317" t="s">
        <v>66</v>
      </c>
      <c r="H200" s="317" t="s">
        <v>66</v>
      </c>
      <c r="I200" s="317" t="s">
        <v>66</v>
      </c>
      <c r="J200" s="317" t="s">
        <v>66</v>
      </c>
      <c r="K200" s="317" t="s">
        <v>66</v>
      </c>
      <c r="L200" s="317" t="s">
        <v>66</v>
      </c>
      <c r="M200" s="317" t="s">
        <v>66</v>
      </c>
      <c r="N200" s="317" t="s">
        <v>66</v>
      </c>
      <c r="O200" s="317" t="s">
        <v>66</v>
      </c>
      <c r="P200" s="317" t="s">
        <v>66</v>
      </c>
      <c r="Q200" s="317" t="s">
        <v>66</v>
      </c>
      <c r="R200" s="317" t="s">
        <v>66</v>
      </c>
      <c r="S200" s="317" t="s">
        <v>66</v>
      </c>
      <c r="T200" s="318" t="s">
        <v>66</v>
      </c>
      <c r="U200" s="290"/>
    </row>
    <row r="201" spans="1:21" x14ac:dyDescent="0.3">
      <c r="A201" s="319" t="s">
        <v>311</v>
      </c>
      <c r="B201" s="323">
        <v>0.01</v>
      </c>
      <c r="C201" s="323">
        <v>0.01</v>
      </c>
      <c r="D201" s="323">
        <v>0.01</v>
      </c>
      <c r="E201" s="323">
        <v>0.01</v>
      </c>
      <c r="F201" s="323">
        <v>0.01</v>
      </c>
      <c r="G201" s="323">
        <v>1.4999999999999999E-2</v>
      </c>
      <c r="H201" s="323">
        <v>1.4999999999999999E-2</v>
      </c>
      <c r="I201" s="323">
        <v>1.4999999999999999E-2</v>
      </c>
      <c r="J201" s="323">
        <v>1.4999999999999999E-2</v>
      </c>
      <c r="K201" s="323">
        <v>1.4999999999999999E-2</v>
      </c>
      <c r="L201" s="323">
        <v>1.4999999999999999E-2</v>
      </c>
      <c r="M201" s="323">
        <v>1.4999999999999999E-2</v>
      </c>
      <c r="N201" s="323">
        <v>1.4999999999999999E-2</v>
      </c>
      <c r="O201" s="323">
        <v>1.4999999999999999E-2</v>
      </c>
      <c r="P201" s="323">
        <v>1.4999999999999999E-2</v>
      </c>
      <c r="Q201" s="323">
        <v>1.4999999999999999E-2</v>
      </c>
      <c r="R201" s="323">
        <v>0.02</v>
      </c>
      <c r="S201" s="323">
        <v>0.02</v>
      </c>
      <c r="T201" s="327">
        <v>0.02</v>
      </c>
      <c r="U201" s="291"/>
    </row>
    <row r="202" spans="1:21" x14ac:dyDescent="0.3">
      <c r="A202" s="319" t="s">
        <v>312</v>
      </c>
      <c r="B202" s="323">
        <v>1E-3</v>
      </c>
      <c r="C202" s="323">
        <v>1E-3</v>
      </c>
      <c r="D202" s="323">
        <v>1E-3</v>
      </c>
      <c r="E202" s="323">
        <v>1E-3</v>
      </c>
      <c r="F202" s="323">
        <v>1E-3</v>
      </c>
      <c r="G202" s="323">
        <v>5.0000000000000001E-3</v>
      </c>
      <c r="H202" s="323">
        <v>5.0000000000000001E-3</v>
      </c>
      <c r="I202" s="323">
        <v>5.0000000000000001E-3</v>
      </c>
      <c r="J202" s="323">
        <v>5.0000000000000001E-3</v>
      </c>
      <c r="K202" s="323">
        <v>5.0000000000000001E-3</v>
      </c>
      <c r="L202" s="323">
        <v>5.0000000000000001E-3</v>
      </c>
      <c r="M202" s="323">
        <v>5.0000000000000001E-3</v>
      </c>
      <c r="N202" s="323">
        <v>5.0000000000000001E-3</v>
      </c>
      <c r="O202" s="323">
        <v>5.0000000000000001E-3</v>
      </c>
      <c r="P202" s="323">
        <v>5.0000000000000001E-3</v>
      </c>
      <c r="Q202" s="323">
        <v>5.0000000000000001E-3</v>
      </c>
      <c r="R202" s="323">
        <v>0.01</v>
      </c>
      <c r="S202" s="323">
        <v>0.01</v>
      </c>
      <c r="T202" s="327">
        <v>0.01</v>
      </c>
      <c r="U202" s="291"/>
    </row>
    <row r="203" spans="1:21" x14ac:dyDescent="0.3">
      <c r="A203" s="319" t="s">
        <v>313</v>
      </c>
      <c r="B203" s="323">
        <v>0.02</v>
      </c>
      <c r="C203" s="323">
        <v>0.02</v>
      </c>
      <c r="D203" s="323">
        <v>0.02</v>
      </c>
      <c r="E203" s="323">
        <v>0.02</v>
      </c>
      <c r="F203" s="323">
        <v>0.02</v>
      </c>
      <c r="G203" s="323">
        <v>0.04</v>
      </c>
      <c r="H203" s="323">
        <v>0.04</v>
      </c>
      <c r="I203" s="323">
        <v>0.04</v>
      </c>
      <c r="J203" s="323">
        <v>0.04</v>
      </c>
      <c r="K203" s="323">
        <v>0.04</v>
      </c>
      <c r="L203" s="323">
        <v>0.04</v>
      </c>
      <c r="M203" s="323">
        <v>0.04</v>
      </c>
      <c r="N203" s="323">
        <v>0.04</v>
      </c>
      <c r="O203" s="323">
        <v>0.04</v>
      </c>
      <c r="P203" s="323">
        <v>0.04</v>
      </c>
      <c r="Q203" s="323">
        <v>0.04</v>
      </c>
      <c r="R203" s="323">
        <v>0.05</v>
      </c>
      <c r="S203" s="323">
        <v>0.05</v>
      </c>
      <c r="T203" s="327">
        <v>0.05</v>
      </c>
      <c r="U203" s="291"/>
    </row>
    <row r="204" spans="1:21" x14ac:dyDescent="0.3">
      <c r="A204" s="319" t="s">
        <v>314</v>
      </c>
      <c r="B204" s="323">
        <v>0.01</v>
      </c>
      <c r="C204" s="323">
        <v>0.01</v>
      </c>
      <c r="D204" s="323">
        <v>0.01</v>
      </c>
      <c r="E204" s="323">
        <v>0.01</v>
      </c>
      <c r="F204" s="323">
        <v>0.01</v>
      </c>
      <c r="G204" s="323">
        <v>1.4999999999999999E-2</v>
      </c>
      <c r="H204" s="323">
        <v>1.4999999999999999E-2</v>
      </c>
      <c r="I204" s="323">
        <v>1.4999999999999999E-2</v>
      </c>
      <c r="J204" s="323">
        <v>1.4999999999999999E-2</v>
      </c>
      <c r="K204" s="323">
        <v>1.4999999999999999E-2</v>
      </c>
      <c r="L204" s="323">
        <v>1.4999999999999999E-2</v>
      </c>
      <c r="M204" s="323">
        <v>1.4999999999999999E-2</v>
      </c>
      <c r="N204" s="323">
        <v>1.4999999999999999E-2</v>
      </c>
      <c r="O204" s="323">
        <v>1.4999999999999999E-2</v>
      </c>
      <c r="P204" s="323">
        <v>1.4999999999999999E-2</v>
      </c>
      <c r="Q204" s="323">
        <v>1.4999999999999999E-2</v>
      </c>
      <c r="R204" s="323">
        <v>0.02</v>
      </c>
      <c r="S204" s="323">
        <v>0.02</v>
      </c>
      <c r="T204" s="327">
        <v>0.02</v>
      </c>
      <c r="U204" s="291"/>
    </row>
    <row r="205" spans="1:21" x14ac:dyDescent="0.3">
      <c r="A205" s="319" t="s">
        <v>315</v>
      </c>
      <c r="B205" s="323">
        <v>0.03</v>
      </c>
      <c r="C205" s="323">
        <v>0.03</v>
      </c>
      <c r="D205" s="323">
        <v>0.03</v>
      </c>
      <c r="E205" s="323">
        <v>0.03</v>
      </c>
      <c r="F205" s="323">
        <v>0.03</v>
      </c>
      <c r="G205" s="323">
        <v>0.03</v>
      </c>
      <c r="H205" s="323">
        <v>0.03</v>
      </c>
      <c r="I205" s="323">
        <v>0.03</v>
      </c>
      <c r="J205" s="323">
        <v>0.03</v>
      </c>
      <c r="K205" s="323">
        <v>0.03</v>
      </c>
      <c r="L205" s="323">
        <v>0.03</v>
      </c>
      <c r="M205" s="323">
        <v>0.03</v>
      </c>
      <c r="N205" s="323">
        <v>0.03</v>
      </c>
      <c r="O205" s="323">
        <v>0.03</v>
      </c>
      <c r="P205" s="323">
        <v>0.03</v>
      </c>
      <c r="Q205" s="323">
        <v>0.03</v>
      </c>
      <c r="R205" s="323">
        <v>0.03</v>
      </c>
      <c r="S205" s="323">
        <v>0.03</v>
      </c>
      <c r="T205" s="327">
        <v>0.03</v>
      </c>
      <c r="U205" s="291"/>
    </row>
    <row r="206" spans="1:21" x14ac:dyDescent="0.3">
      <c r="A206" s="319" t="s">
        <v>316</v>
      </c>
      <c r="B206" s="323">
        <v>0.17</v>
      </c>
      <c r="C206" s="323">
        <v>0.19</v>
      </c>
      <c r="D206" s="323">
        <v>0.2</v>
      </c>
      <c r="E206" s="323">
        <v>0.22</v>
      </c>
      <c r="F206" s="323">
        <v>0.25</v>
      </c>
      <c r="G206" s="323">
        <v>0.27</v>
      </c>
      <c r="H206" s="323">
        <v>0.28999999999999998</v>
      </c>
      <c r="I206" s="323">
        <v>0.32</v>
      </c>
      <c r="J206" s="323">
        <v>0.35</v>
      </c>
      <c r="K206" s="323">
        <v>0.39</v>
      </c>
      <c r="L206" s="323">
        <v>0.42</v>
      </c>
      <c r="M206" s="323">
        <v>0.46</v>
      </c>
      <c r="N206" s="323">
        <v>0.5</v>
      </c>
      <c r="O206" s="323">
        <v>0.55000000000000004</v>
      </c>
      <c r="P206" s="323">
        <v>0.6</v>
      </c>
      <c r="Q206" s="323">
        <v>0.65</v>
      </c>
      <c r="R206" s="323">
        <v>0.71</v>
      </c>
      <c r="S206" s="323">
        <v>0.78</v>
      </c>
      <c r="T206" s="327">
        <v>0.8</v>
      </c>
      <c r="U206" s="291"/>
    </row>
    <row r="207" spans="1:21" x14ac:dyDescent="0.3">
      <c r="A207" s="319" t="s">
        <v>317</v>
      </c>
      <c r="B207" s="323">
        <v>0.03</v>
      </c>
      <c r="C207" s="323">
        <v>0.03</v>
      </c>
      <c r="D207" s="323">
        <v>0.03</v>
      </c>
      <c r="E207" s="323">
        <v>0.03</v>
      </c>
      <c r="F207" s="323">
        <v>0.03</v>
      </c>
      <c r="G207" s="323">
        <v>0.03</v>
      </c>
      <c r="H207" s="323">
        <v>0.03</v>
      </c>
      <c r="I207" s="323">
        <v>0.03</v>
      </c>
      <c r="J207" s="323">
        <v>0.03</v>
      </c>
      <c r="K207" s="323">
        <v>0.03</v>
      </c>
      <c r="L207" s="323">
        <v>0.03</v>
      </c>
      <c r="M207" s="323">
        <v>0.03</v>
      </c>
      <c r="N207" s="323">
        <v>0.03</v>
      </c>
      <c r="O207" s="323">
        <v>0.03</v>
      </c>
      <c r="P207" s="323">
        <v>0.03</v>
      </c>
      <c r="Q207" s="323">
        <v>0.03</v>
      </c>
      <c r="R207" s="323">
        <v>0.3</v>
      </c>
      <c r="S207" s="323">
        <v>0.3</v>
      </c>
      <c r="T207" s="327">
        <v>0.3</v>
      </c>
      <c r="U207" s="291"/>
    </row>
    <row r="208" spans="1:21" x14ac:dyDescent="0.3">
      <c r="A208" s="319" t="s">
        <v>318</v>
      </c>
      <c r="B208" s="323">
        <v>0.17</v>
      </c>
      <c r="C208" s="323">
        <v>0.19</v>
      </c>
      <c r="D208" s="323">
        <v>0.2</v>
      </c>
      <c r="E208" s="323">
        <v>0.22</v>
      </c>
      <c r="F208" s="323">
        <v>0.25</v>
      </c>
      <c r="G208" s="323">
        <v>0.27</v>
      </c>
      <c r="H208" s="323">
        <v>0.28999999999999998</v>
      </c>
      <c r="I208" s="323">
        <v>0.32</v>
      </c>
      <c r="J208" s="323">
        <v>0.35</v>
      </c>
      <c r="K208" s="323">
        <v>0.39</v>
      </c>
      <c r="L208" s="323">
        <v>0.42</v>
      </c>
      <c r="M208" s="323">
        <v>0.46</v>
      </c>
      <c r="N208" s="323">
        <v>0.5</v>
      </c>
      <c r="O208" s="323">
        <v>0.55000000000000004</v>
      </c>
      <c r="P208" s="323">
        <v>0.6</v>
      </c>
      <c r="Q208" s="323">
        <v>0.65</v>
      </c>
      <c r="R208" s="323">
        <v>0.71</v>
      </c>
      <c r="S208" s="323">
        <v>0.78</v>
      </c>
      <c r="T208" s="327">
        <v>0.9</v>
      </c>
      <c r="U208" s="291"/>
    </row>
    <row r="209" spans="1:21" x14ac:dyDescent="0.3">
      <c r="A209" s="319" t="s">
        <v>319</v>
      </c>
      <c r="B209" s="323">
        <v>5.0000000000000001E-3</v>
      </c>
      <c r="C209" s="323">
        <v>5.0000000000000001E-3</v>
      </c>
      <c r="D209" s="323">
        <v>5.0000000000000001E-3</v>
      </c>
      <c r="E209" s="323">
        <v>5.0000000000000001E-3</v>
      </c>
      <c r="F209" s="323">
        <v>5.0000000000000001E-3</v>
      </c>
      <c r="G209" s="323">
        <v>5.0000000000000001E-3</v>
      </c>
      <c r="H209" s="323">
        <v>5.0000000000000001E-3</v>
      </c>
      <c r="I209" s="323">
        <v>5.0000000000000001E-3</v>
      </c>
      <c r="J209" s="323">
        <v>5.0000000000000001E-3</v>
      </c>
      <c r="K209" s="323">
        <v>5.0000000000000001E-3</v>
      </c>
      <c r="L209" s="323">
        <v>5.0000000000000001E-3</v>
      </c>
      <c r="M209" s="323">
        <v>5.0000000000000001E-3</v>
      </c>
      <c r="N209" s="323">
        <v>5.0000000000000001E-3</v>
      </c>
      <c r="O209" s="323">
        <v>5.0000000000000001E-3</v>
      </c>
      <c r="P209" s="323">
        <v>5.0000000000000001E-3</v>
      </c>
      <c r="Q209" s="323">
        <v>5.0000000000000001E-3</v>
      </c>
      <c r="R209" s="323">
        <v>5.0000000000000001E-3</v>
      </c>
      <c r="S209" s="323">
        <v>5.0000000000000001E-3</v>
      </c>
      <c r="T209" s="327">
        <v>5.0000000000000001E-3</v>
      </c>
      <c r="U209" s="291"/>
    </row>
    <row r="210" spans="1:21" x14ac:dyDescent="0.3">
      <c r="A210" s="319" t="s">
        <v>320</v>
      </c>
      <c r="B210" s="323">
        <v>5.0000000000000001E-3</v>
      </c>
      <c r="C210" s="323">
        <v>5.0000000000000001E-3</v>
      </c>
      <c r="D210" s="323">
        <v>5.0000000000000001E-3</v>
      </c>
      <c r="E210" s="323">
        <v>5.0000000000000001E-3</v>
      </c>
      <c r="F210" s="323">
        <v>5.0000000000000001E-3</v>
      </c>
      <c r="G210" s="323">
        <v>0.01</v>
      </c>
      <c r="H210" s="323">
        <v>0.01</v>
      </c>
      <c r="I210" s="323">
        <v>0.01</v>
      </c>
      <c r="J210" s="323">
        <v>0.01</v>
      </c>
      <c r="K210" s="323">
        <v>0.01</v>
      </c>
      <c r="L210" s="323">
        <v>0.01</v>
      </c>
      <c r="M210" s="323">
        <v>0.01</v>
      </c>
      <c r="N210" s="323">
        <v>0.01</v>
      </c>
      <c r="O210" s="323">
        <v>0.01</v>
      </c>
      <c r="P210" s="323">
        <v>0.01</v>
      </c>
      <c r="Q210" s="323">
        <v>0.01</v>
      </c>
      <c r="R210" s="323">
        <v>1.4999999999999999E-2</v>
      </c>
      <c r="S210" s="323">
        <v>1.4999999999999999E-2</v>
      </c>
      <c r="T210" s="327">
        <v>1.4999999999999999E-2</v>
      </c>
      <c r="U210" s="291"/>
    </row>
    <row r="211" spans="1:21" x14ac:dyDescent="0.3">
      <c r="A211" s="319" t="s">
        <v>321</v>
      </c>
      <c r="B211" s="323">
        <v>0.1</v>
      </c>
      <c r="C211" s="323">
        <v>0.1</v>
      </c>
      <c r="D211" s="323">
        <v>0.1</v>
      </c>
      <c r="E211" s="323">
        <v>0.1</v>
      </c>
      <c r="F211" s="323">
        <v>0.1</v>
      </c>
      <c r="G211" s="323">
        <v>0.1</v>
      </c>
      <c r="H211" s="323">
        <v>0.1</v>
      </c>
      <c r="I211" s="323">
        <v>0.1</v>
      </c>
      <c r="J211" s="323">
        <v>0.1</v>
      </c>
      <c r="K211" s="323">
        <v>0.1</v>
      </c>
      <c r="L211" s="323">
        <v>0.1</v>
      </c>
      <c r="M211" s="323">
        <v>0.1</v>
      </c>
      <c r="N211" s="323">
        <v>0.1</v>
      </c>
      <c r="O211" s="323">
        <v>0.1</v>
      </c>
      <c r="P211" s="323">
        <v>0.1</v>
      </c>
      <c r="Q211" s="323">
        <v>0.1</v>
      </c>
      <c r="R211" s="323">
        <v>0.1</v>
      </c>
      <c r="S211" s="323">
        <v>0.1</v>
      </c>
      <c r="T211" s="327">
        <v>0.1</v>
      </c>
      <c r="U211" s="291"/>
    </row>
    <row r="212" spans="1:21" x14ac:dyDescent="0.3">
      <c r="A212" s="319" t="s">
        <v>322</v>
      </c>
      <c r="B212" s="323">
        <v>0</v>
      </c>
      <c r="C212" s="323">
        <v>0</v>
      </c>
      <c r="D212" s="323">
        <v>0</v>
      </c>
      <c r="E212" s="323">
        <v>0</v>
      </c>
      <c r="F212" s="323">
        <v>0</v>
      </c>
      <c r="G212" s="323">
        <v>0</v>
      </c>
      <c r="H212" s="323">
        <v>0</v>
      </c>
      <c r="I212" s="323">
        <v>0</v>
      </c>
      <c r="J212" s="323">
        <v>0</v>
      </c>
      <c r="K212" s="323">
        <v>0</v>
      </c>
      <c r="L212" s="323">
        <v>0</v>
      </c>
      <c r="M212" s="323">
        <v>0</v>
      </c>
      <c r="N212" s="323">
        <v>0</v>
      </c>
      <c r="O212" s="323">
        <v>0</v>
      </c>
      <c r="P212" s="323">
        <v>0</v>
      </c>
      <c r="Q212" s="323">
        <v>0</v>
      </c>
      <c r="R212" s="323">
        <v>0</v>
      </c>
      <c r="S212" s="323">
        <v>0</v>
      </c>
      <c r="T212" s="327">
        <v>0</v>
      </c>
      <c r="U212" s="291"/>
    </row>
    <row r="213" spans="1:21" x14ac:dyDescent="0.3">
      <c r="G213" s="5"/>
    </row>
    <row r="214" spans="1:21" x14ac:dyDescent="0.3">
      <c r="A214" s="7" t="s">
        <v>323</v>
      </c>
      <c r="G214" s="5"/>
    </row>
    <row r="215" spans="1:21" ht="15.6" x14ac:dyDescent="0.35">
      <c r="A215" s="456" t="s">
        <v>324</v>
      </c>
      <c r="B215" s="457">
        <v>28</v>
      </c>
      <c r="C215" s="458" t="s">
        <v>325</v>
      </c>
      <c r="G215" s="5"/>
    </row>
    <row r="216" spans="1:21" ht="15.6" x14ac:dyDescent="0.35">
      <c r="A216" s="319" t="s">
        <v>326</v>
      </c>
      <c r="B216" s="323">
        <v>298</v>
      </c>
      <c r="C216" s="458" t="s">
        <v>327</v>
      </c>
      <c r="G216" s="5"/>
    </row>
    <row r="217" spans="1:21" x14ac:dyDescent="0.3">
      <c r="A217" s="357"/>
      <c r="B217" s="459"/>
      <c r="C217" s="460"/>
      <c r="G217" s="5"/>
    </row>
    <row r="219" spans="1:21" x14ac:dyDescent="0.3">
      <c r="A219" s="599" t="s">
        <v>328</v>
      </c>
      <c r="B219" s="599"/>
      <c r="C219" s="599"/>
      <c r="D219"/>
    </row>
    <row r="220" spans="1:21" ht="87.6" x14ac:dyDescent="0.3">
      <c r="A220" s="462" t="s">
        <v>329</v>
      </c>
      <c r="B220" s="463" t="s">
        <v>330</v>
      </c>
      <c r="C220" s="464" t="s">
        <v>331</v>
      </c>
      <c r="D220" s="364"/>
    </row>
    <row r="221" spans="1:21" x14ac:dyDescent="0.3">
      <c r="A221" s="319" t="s">
        <v>332</v>
      </c>
      <c r="B221" s="465">
        <v>0.38</v>
      </c>
      <c r="C221" s="466">
        <v>0.7</v>
      </c>
      <c r="D221" s="365"/>
    </row>
    <row r="222" spans="1:21" x14ac:dyDescent="0.3">
      <c r="A222" s="319" t="s">
        <v>333</v>
      </c>
      <c r="B222" s="465">
        <v>0.49</v>
      </c>
      <c r="C222" s="466">
        <v>0.7</v>
      </c>
      <c r="D222" s="365"/>
    </row>
    <row r="223" spans="1:21" x14ac:dyDescent="0.3">
      <c r="A223" s="467" t="s">
        <v>334</v>
      </c>
      <c r="B223" s="468" t="s">
        <v>335</v>
      </c>
      <c r="C223" s="469" t="s">
        <v>335</v>
      </c>
      <c r="D223" s="366"/>
    </row>
    <row r="224" spans="1:21" x14ac:dyDescent="0.3">
      <c r="A224" s="460"/>
      <c r="B224" s="470"/>
      <c r="C224" s="470"/>
      <c r="D224"/>
    </row>
    <row r="225" spans="1:7" x14ac:dyDescent="0.3">
      <c r="A225" s="471"/>
      <c r="B225" s="472"/>
      <c r="C225" s="472"/>
      <c r="D225" s="55"/>
    </row>
    <row r="226" spans="1:7" x14ac:dyDescent="0.3">
      <c r="A226" s="461" t="s">
        <v>336</v>
      </c>
      <c r="B226" t="s">
        <v>337</v>
      </c>
      <c r="C226" s="357"/>
      <c r="D226"/>
    </row>
    <row r="227" spans="1:7" x14ac:dyDescent="0.3">
      <c r="A227" s="319" t="s">
        <v>338</v>
      </c>
      <c r="B227" s="319">
        <v>0.5</v>
      </c>
      <c r="C227" s="473"/>
    </row>
    <row r="228" spans="1:7" x14ac:dyDescent="0.3">
      <c r="A228" s="319" t="s">
        <v>339</v>
      </c>
      <c r="B228" s="319">
        <v>1</v>
      </c>
      <c r="C228" s="473"/>
    </row>
    <row r="229" spans="1:7" x14ac:dyDescent="0.3">
      <c r="A229" s="149" t="s">
        <v>340</v>
      </c>
      <c r="B229" s="474">
        <v>0.36</v>
      </c>
      <c r="C229" s="475"/>
    </row>
    <row r="230" spans="1:7" x14ac:dyDescent="0.3">
      <c r="A230" s="319" t="s">
        <v>341</v>
      </c>
      <c r="B230" s="476">
        <v>0.1</v>
      </c>
      <c r="C230" s="473"/>
    </row>
    <row r="231" spans="1:7" ht="15.6" x14ac:dyDescent="0.35">
      <c r="A231" s="319" t="s">
        <v>342</v>
      </c>
      <c r="B231" s="477">
        <v>0.997</v>
      </c>
      <c r="C231" s="473"/>
    </row>
    <row r="232" spans="1:7" x14ac:dyDescent="0.3">
      <c r="A232" s="357"/>
      <c r="B232" s="478"/>
      <c r="C232" s="479"/>
      <c r="D232"/>
    </row>
    <row r="233" spans="1:7" x14ac:dyDescent="0.3">
      <c r="A233" s="357"/>
      <c r="B233" s="478"/>
      <c r="C233" s="479"/>
      <c r="D233"/>
    </row>
    <row r="234" spans="1:7" x14ac:dyDescent="0.3">
      <c r="A234" s="461" t="s">
        <v>343</v>
      </c>
      <c r="B234"/>
      <c r="C234"/>
      <c r="D234"/>
    </row>
    <row r="235" spans="1:7" ht="77.400000000000006" customHeight="1" x14ac:dyDescent="0.3">
      <c r="A235" s="600" t="s">
        <v>344</v>
      </c>
      <c r="B235" s="602" t="s">
        <v>345</v>
      </c>
      <c r="C235" s="603"/>
      <c r="F235" s="193"/>
      <c r="G235" s="5"/>
    </row>
    <row r="236" spans="1:7" ht="44.4" x14ac:dyDescent="0.3">
      <c r="A236" s="601"/>
      <c r="B236" s="463" t="s">
        <v>346</v>
      </c>
      <c r="C236" s="463" t="s">
        <v>347</v>
      </c>
      <c r="F236" s="193"/>
      <c r="G236" s="5"/>
    </row>
    <row r="237" spans="1:7" x14ac:dyDescent="0.3">
      <c r="A237" s="480" t="s">
        <v>332</v>
      </c>
      <c r="B237" s="482">
        <v>5</v>
      </c>
      <c r="C237" s="482">
        <v>0.5</v>
      </c>
      <c r="F237" s="193"/>
      <c r="G237" s="5"/>
    </row>
    <row r="238" spans="1:7" x14ac:dyDescent="0.3">
      <c r="A238" s="480" t="s">
        <v>333</v>
      </c>
      <c r="B238" s="465">
        <v>4.3</v>
      </c>
      <c r="C238" s="483">
        <v>0.63</v>
      </c>
      <c r="F238" s="193"/>
      <c r="G238" s="5"/>
    </row>
    <row r="240" spans="1:7" x14ac:dyDescent="0.3">
      <c r="A240" s="7" t="s">
        <v>348</v>
      </c>
    </row>
    <row r="241" spans="1:7" ht="16.2" x14ac:dyDescent="0.3">
      <c r="A241" s="462" t="s">
        <v>349</v>
      </c>
      <c r="B241" s="481">
        <v>0.95</v>
      </c>
    </row>
    <row r="242" spans="1:7" x14ac:dyDescent="0.3">
      <c r="A242" s="5" t="s">
        <v>350</v>
      </c>
    </row>
    <row r="243" spans="1:7" x14ac:dyDescent="0.3">
      <c r="A243" s="5" t="s">
        <v>351</v>
      </c>
    </row>
    <row r="244" spans="1:7" x14ac:dyDescent="0.3">
      <c r="C244" s="193"/>
      <c r="G244" s="5"/>
    </row>
    <row r="245" spans="1:7" x14ac:dyDescent="0.3">
      <c r="C245" s="193"/>
      <c r="G245" s="5"/>
    </row>
    <row r="246" spans="1:7" x14ac:dyDescent="0.3">
      <c r="C246" s="193"/>
      <c r="G246" s="5"/>
    </row>
    <row r="247" spans="1:7" x14ac:dyDescent="0.3">
      <c r="C247" s="193"/>
      <c r="G247" s="5"/>
    </row>
    <row r="248" spans="1:7" x14ac:dyDescent="0.3">
      <c r="C248" s="193"/>
      <c r="G248" s="5"/>
    </row>
    <row r="249" spans="1:7" x14ac:dyDescent="0.3">
      <c r="C249" s="193"/>
      <c r="G249" s="5"/>
    </row>
    <row r="250" spans="1:7" x14ac:dyDescent="0.3">
      <c r="C250" s="193"/>
      <c r="G250" s="5"/>
    </row>
    <row r="251" spans="1:7" x14ac:dyDescent="0.3">
      <c r="C251" s="193"/>
      <c r="G251" s="5"/>
    </row>
    <row r="252" spans="1:7" x14ac:dyDescent="0.3">
      <c r="C252" s="193"/>
      <c r="G252" s="5"/>
    </row>
    <row r="253" spans="1:7" x14ac:dyDescent="0.3">
      <c r="C253" s="193"/>
      <c r="G253" s="5"/>
    </row>
    <row r="254" spans="1:7" x14ac:dyDescent="0.3">
      <c r="C254" s="193"/>
      <c r="G254" s="5"/>
    </row>
    <row r="255" spans="1:7" x14ac:dyDescent="0.3">
      <c r="C255" s="193"/>
      <c r="G255" s="5"/>
    </row>
    <row r="256" spans="1:7" x14ac:dyDescent="0.3">
      <c r="C256" s="193"/>
      <c r="G256" s="5"/>
    </row>
    <row r="257" spans="3:7" x14ac:dyDescent="0.3">
      <c r="C257" s="193"/>
      <c r="G257" s="5"/>
    </row>
    <row r="258" spans="3:7" x14ac:dyDescent="0.3">
      <c r="C258" s="193"/>
      <c r="G258" s="5"/>
    </row>
    <row r="259" spans="3:7" x14ac:dyDescent="0.3">
      <c r="C259" s="193"/>
      <c r="G259" s="5"/>
    </row>
    <row r="260" spans="3:7" x14ac:dyDescent="0.3">
      <c r="C260" s="193"/>
      <c r="G260" s="5"/>
    </row>
    <row r="261" spans="3:7" x14ac:dyDescent="0.3">
      <c r="C261" s="193"/>
      <c r="G261" s="5"/>
    </row>
    <row r="262" spans="3:7" x14ac:dyDescent="0.3">
      <c r="C262" s="193"/>
      <c r="G262" s="5"/>
    </row>
    <row r="263" spans="3:7" x14ac:dyDescent="0.3">
      <c r="C263" s="193"/>
      <c r="G263" s="5"/>
    </row>
    <row r="264" spans="3:7" x14ac:dyDescent="0.3">
      <c r="C264" s="193"/>
      <c r="G264" s="5"/>
    </row>
    <row r="265" spans="3:7" x14ac:dyDescent="0.3">
      <c r="C265" s="193"/>
      <c r="G265" s="5"/>
    </row>
    <row r="266" spans="3:7" x14ac:dyDescent="0.3">
      <c r="C266" s="193"/>
      <c r="G266" s="5"/>
    </row>
    <row r="267" spans="3:7" x14ac:dyDescent="0.3">
      <c r="C267" s="193"/>
      <c r="G267" s="5"/>
    </row>
    <row r="268" spans="3:7" x14ac:dyDescent="0.3">
      <c r="C268" s="193"/>
      <c r="G268" s="5"/>
    </row>
    <row r="269" spans="3:7" x14ac:dyDescent="0.3">
      <c r="C269" s="193"/>
      <c r="G269" s="5"/>
    </row>
    <row r="270" spans="3:7" x14ac:dyDescent="0.3">
      <c r="C270" s="193"/>
      <c r="G270" s="5"/>
    </row>
    <row r="271" spans="3:7" x14ac:dyDescent="0.3">
      <c r="C271" s="193"/>
      <c r="G271" s="5"/>
    </row>
    <row r="272" spans="3:7" x14ac:dyDescent="0.3">
      <c r="C272" s="193"/>
      <c r="G272" s="5"/>
    </row>
    <row r="273" spans="3:7" x14ac:dyDescent="0.3">
      <c r="C273" s="193"/>
      <c r="G273" s="5"/>
    </row>
    <row r="274" spans="3:7" x14ac:dyDescent="0.3">
      <c r="C274" s="193"/>
      <c r="G274" s="5"/>
    </row>
    <row r="275" spans="3:7" x14ac:dyDescent="0.3">
      <c r="C275" s="193"/>
      <c r="G275" s="5"/>
    </row>
    <row r="276" spans="3:7" x14ac:dyDescent="0.3">
      <c r="C276" s="193"/>
      <c r="G276" s="5"/>
    </row>
    <row r="277" spans="3:7" x14ac:dyDescent="0.3">
      <c r="C277" s="193"/>
      <c r="G277" s="5"/>
    </row>
    <row r="278" spans="3:7" x14ac:dyDescent="0.3">
      <c r="C278" s="193"/>
      <c r="G278" s="5"/>
    </row>
  </sheetData>
  <sheetProtection algorithmName="SHA-512" hashValue="9EYoF7uh7XVQTES1Id/mGc7FjPwGr1Oy8tlGoRQZ5c1h9PBfTFEyfw4oW1zU0wpjvXddlgyC+YOzu8UTC2uo7Q==" saltValue="5/WDHLLMlF7TZnCX766uwA==" spinCount="100000" sheet="1" objects="1" scenarios="1"/>
  <customSheetViews>
    <customSheetView guid="{A8E9A491-4491-4848-9959-58297999E6F5}" showGridLines="0" topLeftCell="A55">
      <selection activeCell="B79" sqref="B79"/>
      <pageMargins left="0" right="0" top="0" bottom="0" header="0" footer="0"/>
      <pageSetup orientation="portrait" r:id="rId1"/>
    </customSheetView>
    <customSheetView guid="{CBE97499-8DE4-4834-9D9F-4D852DB24A20}" showGridLines="0">
      <selection activeCell="B203" sqref="B203:T215"/>
      <pageMargins left="0" right="0" top="0" bottom="0" header="0" footer="0"/>
      <pageSetup orientation="portrait" r:id="rId2"/>
    </customSheetView>
    <customSheetView guid="{BAC701C4-B534-4ABA-907B-FE30A3505B8B}" showGridLines="0" topLeftCell="A175">
      <selection activeCell="B69" sqref="B69"/>
      <pageMargins left="0" right="0" top="0" bottom="0" header="0" footer="0"/>
      <pageSetup orientation="portrait" r:id="rId3"/>
    </customSheetView>
    <customSheetView guid="{3F555A8F-379C-4D2D-833A-FF346FE5F044}" showGridLines="0">
      <selection activeCell="B203" sqref="B203:T215"/>
      <pageMargins left="0" right="0" top="0" bottom="0" header="0" footer="0"/>
      <pageSetup orientation="portrait" r:id="rId4"/>
    </customSheetView>
    <customSheetView guid="{61CEA325-629A-4670-A66B-4314E031BBF1}" showGridLines="0" topLeftCell="A58">
      <selection activeCell="E72" sqref="E72"/>
      <pageMargins left="0" right="0" top="0" bottom="0" header="0" footer="0"/>
      <pageSetup orientation="portrait" r:id="rId5"/>
    </customSheetView>
  </customSheetViews>
  <mergeCells count="155">
    <mergeCell ref="U198:U199"/>
    <mergeCell ref="A124:A126"/>
    <mergeCell ref="D124:F124"/>
    <mergeCell ref="H124:J124"/>
    <mergeCell ref="L124:N124"/>
    <mergeCell ref="D125:F125"/>
    <mergeCell ref="H125:J125"/>
    <mergeCell ref="L125:N125"/>
    <mergeCell ref="D126:F126"/>
    <mergeCell ref="H126:J126"/>
    <mergeCell ref="L126:N126"/>
    <mergeCell ref="A133:A135"/>
    <mergeCell ref="A136:A138"/>
    <mergeCell ref="A155:A157"/>
    <mergeCell ref="B198:F198"/>
    <mergeCell ref="G198:Q198"/>
    <mergeCell ref="R198:T198"/>
    <mergeCell ref="L123:N123"/>
    <mergeCell ref="D116:F116"/>
    <mergeCell ref="D112:F112"/>
    <mergeCell ref="D113:F113"/>
    <mergeCell ref="L119:N119"/>
    <mergeCell ref="L120:N120"/>
    <mergeCell ref="A161:A163"/>
    <mergeCell ref="A148:A150"/>
    <mergeCell ref="H115:J115"/>
    <mergeCell ref="H116:J116"/>
    <mergeCell ref="L112:N112"/>
    <mergeCell ref="L113:N113"/>
    <mergeCell ref="L114:N114"/>
    <mergeCell ref="L115:N115"/>
    <mergeCell ref="A158:A160"/>
    <mergeCell ref="A139:A141"/>
    <mergeCell ref="A142:A147"/>
    <mergeCell ref="D122:F122"/>
    <mergeCell ref="H122:J122"/>
    <mergeCell ref="L122:N122"/>
    <mergeCell ref="H123:J123"/>
    <mergeCell ref="D123:F123"/>
    <mergeCell ref="L121:N121"/>
    <mergeCell ref="H118:J118"/>
    <mergeCell ref="L116:N116"/>
    <mergeCell ref="L117:N117"/>
    <mergeCell ref="D118:F118"/>
    <mergeCell ref="L110:N110"/>
    <mergeCell ref="D108:F108"/>
    <mergeCell ref="C98:E98"/>
    <mergeCell ref="C99:E99"/>
    <mergeCell ref="D106:F106"/>
    <mergeCell ref="F85:H85"/>
    <mergeCell ref="F86:H86"/>
    <mergeCell ref="F87:H87"/>
    <mergeCell ref="F88:H88"/>
    <mergeCell ref="L106:N106"/>
    <mergeCell ref="H107:J107"/>
    <mergeCell ref="H108:J108"/>
    <mergeCell ref="H109:J109"/>
    <mergeCell ref="H110:J110"/>
    <mergeCell ref="L111:N111"/>
    <mergeCell ref="L107:N107"/>
    <mergeCell ref="L108:N108"/>
    <mergeCell ref="L109:N109"/>
    <mergeCell ref="D109:F109"/>
    <mergeCell ref="D110:F110"/>
    <mergeCell ref="D107:F107"/>
    <mergeCell ref="C100:E100"/>
    <mergeCell ref="C101:E101"/>
    <mergeCell ref="A107:A122"/>
    <mergeCell ref="D117:F117"/>
    <mergeCell ref="H117:J117"/>
    <mergeCell ref="D121:F121"/>
    <mergeCell ref="H121:J121"/>
    <mergeCell ref="H114:J114"/>
    <mergeCell ref="D120:F120"/>
    <mergeCell ref="H120:J120"/>
    <mergeCell ref="H112:J112"/>
    <mergeCell ref="H113:J113"/>
    <mergeCell ref="D114:F114"/>
    <mergeCell ref="H111:J111"/>
    <mergeCell ref="D115:F115"/>
    <mergeCell ref="D111:F111"/>
    <mergeCell ref="D119:F119"/>
    <mergeCell ref="H119:J119"/>
    <mergeCell ref="E46:G46"/>
    <mergeCell ref="E48:G48"/>
    <mergeCell ref="E47:G47"/>
    <mergeCell ref="E50:G50"/>
    <mergeCell ref="E52:G52"/>
    <mergeCell ref="E53:G53"/>
    <mergeCell ref="E49:G49"/>
    <mergeCell ref="A46:A49"/>
    <mergeCell ref="A56:A58"/>
    <mergeCell ref="I89:K89"/>
    <mergeCell ref="F89:H89"/>
    <mergeCell ref="C70:E70"/>
    <mergeCell ref="K67:M67"/>
    <mergeCell ref="K68:M68"/>
    <mergeCell ref="K69:M69"/>
    <mergeCell ref="K71:M71"/>
    <mergeCell ref="A51:A52"/>
    <mergeCell ref="A53:A55"/>
    <mergeCell ref="C64:E64"/>
    <mergeCell ref="G64:I64"/>
    <mergeCell ref="C65:E65"/>
    <mergeCell ref="G65:I65"/>
    <mergeCell ref="C66:E66"/>
    <mergeCell ref="K64:M64"/>
    <mergeCell ref="K65:M65"/>
    <mergeCell ref="G70:I70"/>
    <mergeCell ref="K66:M66"/>
    <mergeCell ref="A82:A85"/>
    <mergeCell ref="A86:A88"/>
    <mergeCell ref="F82:H82"/>
    <mergeCell ref="F83:H83"/>
    <mergeCell ref="F84:H84"/>
    <mergeCell ref="I84:K84"/>
    <mergeCell ref="I82:K82"/>
    <mergeCell ref="I85:K85"/>
    <mergeCell ref="I86:K86"/>
    <mergeCell ref="I87:K87"/>
    <mergeCell ref="I88:K88"/>
    <mergeCell ref="K70:M70"/>
    <mergeCell ref="K72:M72"/>
    <mergeCell ref="C73:E73"/>
    <mergeCell ref="G73:I73"/>
    <mergeCell ref="G74:I74"/>
    <mergeCell ref="K74:M74"/>
    <mergeCell ref="G75:I75"/>
    <mergeCell ref="K75:M75"/>
    <mergeCell ref="C75:E75"/>
    <mergeCell ref="I83:K83"/>
    <mergeCell ref="A219:C219"/>
    <mergeCell ref="A235:A236"/>
    <mergeCell ref="B235:C235"/>
    <mergeCell ref="E56:G56"/>
    <mergeCell ref="E45:G45"/>
    <mergeCell ref="E51:G51"/>
    <mergeCell ref="E54:G54"/>
    <mergeCell ref="E55:G55"/>
    <mergeCell ref="G66:I66"/>
    <mergeCell ref="E57:G57"/>
    <mergeCell ref="E58:G58"/>
    <mergeCell ref="C72:E72"/>
    <mergeCell ref="G72:I72"/>
    <mergeCell ref="C74:E74"/>
    <mergeCell ref="H106:J106"/>
    <mergeCell ref="C67:E67"/>
    <mergeCell ref="G67:I67"/>
    <mergeCell ref="C68:E68"/>
    <mergeCell ref="G68:I68"/>
    <mergeCell ref="C69:E69"/>
    <mergeCell ref="G69:I69"/>
    <mergeCell ref="C71:E71"/>
    <mergeCell ref="G71:I71"/>
    <mergeCell ref="I81:K81"/>
  </mergeCell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sheetPr>
  <dimension ref="A1:N107"/>
  <sheetViews>
    <sheetView showGridLines="0" topLeftCell="A81" zoomScale="85" zoomScaleNormal="85" workbookViewId="0">
      <selection activeCell="C104" sqref="C104"/>
    </sheetView>
  </sheetViews>
  <sheetFormatPr defaultColWidth="11.44140625" defaultRowHeight="14.4" x14ac:dyDescent="0.3"/>
  <cols>
    <col min="1" max="1" width="6.44140625" style="5" customWidth="1"/>
    <col min="2" max="2" width="40.109375" style="5" customWidth="1"/>
    <col min="3" max="3" width="54.33203125" style="5" bestFit="1" customWidth="1"/>
    <col min="4" max="4" width="59.109375" style="21" customWidth="1"/>
    <col min="5" max="5" width="78.6640625" style="5" customWidth="1"/>
    <col min="6" max="6" width="28.109375" style="5" customWidth="1"/>
    <col min="7" max="8" width="12.88671875" style="5" customWidth="1"/>
    <col min="9" max="16384" width="11.44140625" style="5"/>
  </cols>
  <sheetData>
    <row r="1" spans="1:14" x14ac:dyDescent="0.3">
      <c r="A1" s="347"/>
    </row>
    <row r="2" spans="1:14" s="96" customFormat="1" x14ac:dyDescent="0.3">
      <c r="A2" s="96" t="s">
        <v>352</v>
      </c>
    </row>
    <row r="3" spans="1:14" s="32" customFormat="1" x14ac:dyDescent="0.3">
      <c r="A3" s="66" t="s">
        <v>353</v>
      </c>
      <c r="C3" s="5"/>
    </row>
    <row r="4" spans="1:14" s="32" customFormat="1" x14ac:dyDescent="0.3">
      <c r="A4" s="66" t="s">
        <v>354</v>
      </c>
      <c r="C4" s="5"/>
    </row>
    <row r="5" spans="1:14" s="32" customFormat="1" x14ac:dyDescent="0.3">
      <c r="A5" s="66" t="s">
        <v>355</v>
      </c>
      <c r="C5" s="5"/>
    </row>
    <row r="6" spans="1:14" s="32" customFormat="1" x14ac:dyDescent="0.3">
      <c r="B6" s="66"/>
      <c r="C6" s="5"/>
    </row>
    <row r="7" spans="1:14" s="6" customFormat="1" x14ac:dyDescent="0.3">
      <c r="A7" s="6" t="s">
        <v>356</v>
      </c>
      <c r="C7" s="53"/>
    </row>
    <row r="8" spans="1:14" s="32" customFormat="1" x14ac:dyDescent="0.3">
      <c r="C8" s="58"/>
    </row>
    <row r="9" spans="1:14" s="32" customFormat="1" x14ac:dyDescent="0.3">
      <c r="A9" s="75" t="s">
        <v>357</v>
      </c>
      <c r="C9" s="58"/>
    </row>
    <row r="10" spans="1:14" x14ac:dyDescent="0.3">
      <c r="B10" s="80" t="s">
        <v>358</v>
      </c>
      <c r="C10" s="24" t="s">
        <v>133</v>
      </c>
      <c r="D10" s="5"/>
    </row>
    <row r="11" spans="1:14" ht="86.4" x14ac:dyDescent="0.3">
      <c r="B11" s="294" t="s">
        <v>359</v>
      </c>
      <c r="C11" s="360" t="s">
        <v>360</v>
      </c>
      <c r="D11" s="104" t="s">
        <v>361</v>
      </c>
      <c r="E11" s="28"/>
    </row>
    <row r="12" spans="1:14" ht="39.6" customHeight="1" x14ac:dyDescent="0.3">
      <c r="B12" s="81" t="s">
        <v>362</v>
      </c>
      <c r="C12" s="9"/>
      <c r="D12" s="104" t="s">
        <v>363</v>
      </c>
    </row>
    <row r="13" spans="1:14" ht="57.6" x14ac:dyDescent="0.3">
      <c r="B13" s="80" t="s">
        <v>364</v>
      </c>
      <c r="C13" s="95" t="str">
        <f>IF(C14="Configurable unit process",CONCATENATE(C10," (",C12,")"),IF(C10="Select feedstock type","",(IF(C10="New feedstock",CONCATENATE(C18," (",C11,")"),CONCATENATE(C10," (",C11,")")))))</f>
        <v>Corn (Global)</v>
      </c>
      <c r="D13" s="369" t="s">
        <v>365</v>
      </c>
    </row>
    <row r="14" spans="1:14" x14ac:dyDescent="0.3">
      <c r="B14" s="80" t="s">
        <v>366</v>
      </c>
      <c r="C14" s="69" t="s">
        <v>367</v>
      </c>
      <c r="D14" s="370"/>
      <c r="F14" s="21"/>
      <c r="N14" s="19"/>
    </row>
    <row r="15" spans="1:14" customFormat="1" x14ac:dyDescent="0.3">
      <c r="B15" s="49" t="s">
        <v>27</v>
      </c>
      <c r="C15" s="69" t="s">
        <v>368</v>
      </c>
    </row>
    <row r="16" spans="1:14" x14ac:dyDescent="0.3">
      <c r="D16" s="5"/>
    </row>
    <row r="17" spans="1:14" x14ac:dyDescent="0.3">
      <c r="B17" s="25" t="s">
        <v>369</v>
      </c>
      <c r="D17" s="23"/>
      <c r="N17" s="19"/>
    </row>
    <row r="18" spans="1:14" x14ac:dyDescent="0.3">
      <c r="B18" s="80" t="s">
        <v>370</v>
      </c>
      <c r="C18" s="9"/>
      <c r="D18" s="23"/>
    </row>
    <row r="19" spans="1:14" ht="28.8" x14ac:dyDescent="0.3">
      <c r="B19" s="92" t="s">
        <v>371</v>
      </c>
      <c r="C19" s="9"/>
      <c r="D19" s="23"/>
      <c r="F19" s="21"/>
      <c r="N19" s="19"/>
    </row>
    <row r="20" spans="1:14" x14ac:dyDescent="0.3">
      <c r="B20" s="89" t="s">
        <v>372</v>
      </c>
      <c r="C20" s="9"/>
      <c r="D20" s="5"/>
      <c r="F20" s="21"/>
      <c r="N20" s="19"/>
    </row>
    <row r="21" spans="1:14" x14ac:dyDescent="0.3">
      <c r="D21" s="5"/>
      <c r="F21" s="21"/>
      <c r="N21" s="19"/>
    </row>
    <row r="22" spans="1:14" s="32" customFormat="1" x14ac:dyDescent="0.3">
      <c r="A22" s="75" t="s">
        <v>373</v>
      </c>
      <c r="C22" s="58"/>
    </row>
    <row r="23" spans="1:14" ht="32.25" customHeight="1" x14ac:dyDescent="0.3">
      <c r="B23" s="80" t="s">
        <v>126</v>
      </c>
      <c r="C23" s="527">
        <f>'ECCC Parameters'!C47</f>
        <v>56</v>
      </c>
      <c r="D23" s="9" t="str">
        <f>'ECCC Parameters'!D47</f>
        <v>wet lbs/bushel</v>
      </c>
      <c r="E23" s="139" t="s">
        <v>374</v>
      </c>
    </row>
    <row r="24" spans="1:14" x14ac:dyDescent="0.3">
      <c r="D24" s="5"/>
    </row>
    <row r="25" spans="1:14" s="6" customFormat="1" x14ac:dyDescent="0.3">
      <c r="A25" s="6" t="s">
        <v>375</v>
      </c>
    </row>
    <row r="26" spans="1:14" s="33" customFormat="1" x14ac:dyDescent="0.3">
      <c r="A26" s="96" t="s">
        <v>376</v>
      </c>
    </row>
    <row r="27" spans="1:14" s="33" customFormat="1" x14ac:dyDescent="0.3">
      <c r="A27" s="96"/>
    </row>
    <row r="28" spans="1:14" x14ac:dyDescent="0.3">
      <c r="B28" s="8" t="s">
        <v>377</v>
      </c>
      <c r="C28" s="24" t="s">
        <v>378</v>
      </c>
      <c r="D28" s="11"/>
    </row>
    <row r="29" spans="1:14" x14ac:dyDescent="0.3">
      <c r="D29" s="11"/>
    </row>
    <row r="30" spans="1:14" x14ac:dyDescent="0.3">
      <c r="B30" s="25" t="s">
        <v>379</v>
      </c>
      <c r="D30" s="11"/>
    </row>
    <row r="31" spans="1:14" ht="28.8" x14ac:dyDescent="0.3">
      <c r="B31" s="76" t="s">
        <v>380</v>
      </c>
      <c r="C31" s="76" t="s">
        <v>381</v>
      </c>
      <c r="D31" s="76" t="s">
        <v>127</v>
      </c>
    </row>
    <row r="32" spans="1:14" ht="54.9" customHeight="1" x14ac:dyDescent="0.3">
      <c r="B32" s="82" t="s">
        <v>382</v>
      </c>
      <c r="C32" s="106"/>
      <c r="D32" s="84" t="s">
        <v>383</v>
      </c>
      <c r="E32" s="657" t="s">
        <v>384</v>
      </c>
    </row>
    <row r="33" spans="2:8" ht="54.9" customHeight="1" x14ac:dyDescent="0.3">
      <c r="B33" s="82" t="s">
        <v>385</v>
      </c>
      <c r="C33" s="94"/>
      <c r="D33" s="84" t="s">
        <v>383</v>
      </c>
      <c r="E33" s="657"/>
    </row>
    <row r="34" spans="2:8" ht="54.9" customHeight="1" x14ac:dyDescent="0.3">
      <c r="B34" s="82" t="s">
        <v>386</v>
      </c>
      <c r="C34" s="94"/>
      <c r="D34" s="84" t="s">
        <v>383</v>
      </c>
      <c r="E34" s="657"/>
    </row>
    <row r="35" spans="2:8" ht="42.9" customHeight="1" x14ac:dyDescent="0.3">
      <c r="B35" s="23"/>
      <c r="C35" s="23"/>
      <c r="D35" s="59"/>
    </row>
    <row r="36" spans="2:8" x14ac:dyDescent="0.3">
      <c r="B36" s="25" t="s">
        <v>387</v>
      </c>
      <c r="D36" s="23"/>
    </row>
    <row r="37" spans="2:8" x14ac:dyDescent="0.3">
      <c r="B37" s="76" t="s">
        <v>380</v>
      </c>
      <c r="C37" s="76" t="s">
        <v>388</v>
      </c>
      <c r="D37" s="76" t="s">
        <v>127</v>
      </c>
    </row>
    <row r="38" spans="2:8" ht="45.75" customHeight="1" x14ac:dyDescent="0.3">
      <c r="B38" s="82" t="s">
        <v>382</v>
      </c>
      <c r="C38" s="106"/>
      <c r="D38" s="84" t="s">
        <v>120</v>
      </c>
      <c r="E38" s="658" t="s">
        <v>389</v>
      </c>
    </row>
    <row r="39" spans="2:8" ht="45.75" customHeight="1" x14ac:dyDescent="0.3">
      <c r="B39" s="82" t="s">
        <v>385</v>
      </c>
      <c r="C39" s="94"/>
      <c r="D39" s="84" t="s">
        <v>120</v>
      </c>
      <c r="E39" s="659"/>
    </row>
    <row r="40" spans="2:8" ht="45.75" customHeight="1" x14ac:dyDescent="0.3">
      <c r="B40" s="82" t="s">
        <v>386</v>
      </c>
      <c r="C40" s="94"/>
      <c r="D40" s="84" t="s">
        <v>120</v>
      </c>
      <c r="E40" s="660"/>
    </row>
    <row r="41" spans="2:8" ht="49.5" customHeight="1" x14ac:dyDescent="0.3">
      <c r="B41" s="25"/>
      <c r="D41" s="23"/>
      <c r="H41" s="5" t="s">
        <v>118</v>
      </c>
    </row>
    <row r="42" spans="2:8" x14ac:dyDescent="0.3">
      <c r="B42" s="110" t="s">
        <v>390</v>
      </c>
      <c r="C42" s="24" t="s">
        <v>391</v>
      </c>
      <c r="D42" s="76" t="s">
        <v>127</v>
      </c>
    </row>
    <row r="43" spans="2:8" ht="144" x14ac:dyDescent="0.3">
      <c r="B43" s="81" t="s">
        <v>392</v>
      </c>
      <c r="C43" s="150" t="str">
        <f>IF(OR(C28="Predefined transport scenario",C28="Hybrid option - Applicant data and Predefined transport scenario"), IFERROR(1/(1-C63),""),"")</f>
        <v/>
      </c>
      <c r="D43" s="84" t="s">
        <v>393</v>
      </c>
      <c r="E43" s="104" t="s">
        <v>394</v>
      </c>
    </row>
    <row r="44" spans="2:8" x14ac:dyDescent="0.3">
      <c r="B44" s="54"/>
      <c r="C44" s="361"/>
      <c r="D44" s="143"/>
      <c r="E44" s="79"/>
    </row>
    <row r="45" spans="2:8" x14ac:dyDescent="0.3">
      <c r="B45" s="25" t="s">
        <v>395</v>
      </c>
      <c r="C45" s="11"/>
      <c r="D45" s="11"/>
    </row>
    <row r="46" spans="2:8" ht="43.2" x14ac:dyDescent="0.3">
      <c r="B46" s="76" t="s">
        <v>380</v>
      </c>
      <c r="C46" s="137" t="s">
        <v>396</v>
      </c>
      <c r="D46" s="138" t="s">
        <v>397</v>
      </c>
      <c r="E46" s="138" t="s">
        <v>127</v>
      </c>
      <c r="F46" s="137" t="s">
        <v>398</v>
      </c>
    </row>
    <row r="47" spans="2:8" ht="57.6" x14ac:dyDescent="0.3">
      <c r="B47" s="76"/>
      <c r="C47" s="104" t="s">
        <v>399</v>
      </c>
      <c r="D47" s="138"/>
      <c r="E47" s="138"/>
      <c r="F47" s="104"/>
    </row>
    <row r="48" spans="2:8" x14ac:dyDescent="0.3">
      <c r="B48" s="82" t="s">
        <v>382</v>
      </c>
      <c r="C48" s="106"/>
      <c r="D48" s="84" t="str">
        <f>$C$62</f>
        <v>Wet basis</v>
      </c>
      <c r="E48" s="84" t="str">
        <f>$C$61</f>
        <v>tonnes</v>
      </c>
      <c r="F48" s="363" t="str">
        <f>IF($C$28="Hybrid option - Applicant data and Predefined transport scenario", IFERROR(C48/SUM($D$67:$D$90),""),"")</f>
        <v/>
      </c>
    </row>
    <row r="49" spans="1:6" x14ac:dyDescent="0.3">
      <c r="B49" s="82" t="s">
        <v>385</v>
      </c>
      <c r="C49" s="94"/>
      <c r="D49" s="84" t="str">
        <f>$C$62</f>
        <v>Wet basis</v>
      </c>
      <c r="E49" s="84" t="str">
        <f>$C$61</f>
        <v>tonnes</v>
      </c>
      <c r="F49" s="363" t="str">
        <f>IF($C$28="Hybrid option - Applicant data and Predefined transport scenario", IFERROR(C49/SUM($D$67:$D$90),""),"")</f>
        <v/>
      </c>
    </row>
    <row r="50" spans="1:6" x14ac:dyDescent="0.3">
      <c r="B50" s="82" t="s">
        <v>386</v>
      </c>
      <c r="C50" s="94"/>
      <c r="D50" s="84" t="str">
        <f>$C$62</f>
        <v>Wet basis</v>
      </c>
      <c r="E50" s="84" t="str">
        <f>$C$61</f>
        <v>tonnes</v>
      </c>
      <c r="F50" s="363" t="str">
        <f>IF($C$28="Hybrid option - Applicant data and Predefined transport scenario", IFERROR(C50/SUM($D$67:$D$90),""),"")</f>
        <v/>
      </c>
    </row>
    <row r="51" spans="1:6" x14ac:dyDescent="0.3">
      <c r="B51" s="82" t="s">
        <v>400</v>
      </c>
      <c r="C51" s="94"/>
      <c r="D51" s="84" t="str">
        <f>$C$62</f>
        <v>Wet basis</v>
      </c>
      <c r="E51" s="84" t="str">
        <f>$C$61</f>
        <v>tonnes</v>
      </c>
      <c r="F51" s="363" t="str">
        <f>IF($C$28="Hybrid option - Applicant data and Predefined transport scenario", IFERROR(C51/SUM($D$67:$D$90),""),"")</f>
        <v/>
      </c>
    </row>
    <row r="52" spans="1:6" x14ac:dyDescent="0.3">
      <c r="B52" s="54"/>
      <c r="C52" s="361"/>
      <c r="D52" s="143"/>
      <c r="E52" s="79"/>
    </row>
    <row r="53" spans="1:6" x14ac:dyDescent="0.3">
      <c r="B53" s="76" t="s">
        <v>380</v>
      </c>
      <c r="C53" s="137" t="s">
        <v>401</v>
      </c>
      <c r="D53" s="138" t="s">
        <v>127</v>
      </c>
      <c r="E53" s="21"/>
    </row>
    <row r="54" spans="1:6" x14ac:dyDescent="0.3">
      <c r="B54" s="82" t="s">
        <v>382</v>
      </c>
      <c r="C54" s="362" t="str">
        <f>IF($C$28="Hybrid option - Applicant data and Predefined transport scenario",IFERROR(C32*F48,""),"")</f>
        <v/>
      </c>
      <c r="D54" s="84" t="s">
        <v>402</v>
      </c>
      <c r="E54" s="664" t="s">
        <v>403</v>
      </c>
    </row>
    <row r="55" spans="1:6" ht="21" customHeight="1" x14ac:dyDescent="0.3">
      <c r="B55" s="82" t="s">
        <v>385</v>
      </c>
      <c r="C55" s="362" t="str">
        <f>IF($C$28="Hybrid option - Applicant data and Predefined transport scenario",IFERROR(C33*F49,""),"")</f>
        <v/>
      </c>
      <c r="D55" s="84" t="s">
        <v>402</v>
      </c>
      <c r="E55" s="665"/>
    </row>
    <row r="56" spans="1:6" ht="33.6" customHeight="1" x14ac:dyDescent="0.3">
      <c r="B56" s="82" t="s">
        <v>386</v>
      </c>
      <c r="C56" s="362" t="str">
        <f>IF($C$28="Hybrid option - Applicant data and Predefined transport scenario",IFERROR(C34*F50,""),"")</f>
        <v/>
      </c>
      <c r="D56" s="84" t="s">
        <v>402</v>
      </c>
      <c r="E56" s="666"/>
    </row>
    <row r="57" spans="1:6" x14ac:dyDescent="0.3">
      <c r="B57" s="82" t="s">
        <v>400</v>
      </c>
      <c r="C57" s="362" t="str">
        <f>IF($C$28="Hybrid option - Applicant data and Predefined transport scenario",IFERROR(C43*F51,""),"")</f>
        <v/>
      </c>
      <c r="D57" s="84" t="s">
        <v>69</v>
      </c>
      <c r="E57" s="104"/>
    </row>
    <row r="58" spans="1:6" x14ac:dyDescent="0.3">
      <c r="B58" s="7"/>
      <c r="C58" s="7"/>
      <c r="D58" s="11"/>
    </row>
    <row r="59" spans="1:6" s="6" customFormat="1" x14ac:dyDescent="0.3">
      <c r="A59" s="6" t="s">
        <v>404</v>
      </c>
    </row>
    <row r="60" spans="1:6" s="32" customFormat="1" x14ac:dyDescent="0.3"/>
    <row r="61" spans="1:6" ht="34.5" customHeight="1" x14ac:dyDescent="0.3">
      <c r="B61" s="80" t="s">
        <v>405</v>
      </c>
      <c r="C61" s="52" t="s">
        <v>406</v>
      </c>
      <c r="D61" s="598" t="s">
        <v>407</v>
      </c>
      <c r="E61" s="598"/>
    </row>
    <row r="62" spans="1:6" x14ac:dyDescent="0.3">
      <c r="B62" s="80" t="s">
        <v>408</v>
      </c>
      <c r="C62" s="10" t="s">
        <v>409</v>
      </c>
      <c r="D62" s="22"/>
      <c r="E62"/>
    </row>
    <row r="63" spans="1:6" ht="58.5" customHeight="1" x14ac:dyDescent="0.3">
      <c r="B63" s="80" t="s">
        <v>410</v>
      </c>
      <c r="C63" s="510">
        <f>'Side Calc. - Corn transport'!C32</f>
        <v>0.14428750003908386</v>
      </c>
      <c r="D63" s="598" t="s">
        <v>411</v>
      </c>
      <c r="E63" s="598"/>
    </row>
    <row r="65" spans="2:7" s="11" customFormat="1" ht="28.8" x14ac:dyDescent="0.3">
      <c r="B65" s="328" t="s">
        <v>412</v>
      </c>
      <c r="C65" s="74" t="s">
        <v>413</v>
      </c>
      <c r="D65" s="74" t="s">
        <v>414</v>
      </c>
      <c r="E65" s="74" t="s">
        <v>415</v>
      </c>
      <c r="F65" s="76" t="s">
        <v>416</v>
      </c>
      <c r="G65" s="85" t="s">
        <v>127</v>
      </c>
    </row>
    <row r="66" spans="2:7" s="11" customFormat="1" x14ac:dyDescent="0.3">
      <c r="B66" s="661" t="s">
        <v>417</v>
      </c>
      <c r="C66" s="662"/>
      <c r="D66" s="662"/>
      <c r="E66" s="663"/>
      <c r="F66" s="86"/>
      <c r="G66" s="87"/>
    </row>
    <row r="67" spans="2:7" x14ac:dyDescent="0.3">
      <c r="B67" s="525" t="s">
        <v>418</v>
      </c>
      <c r="C67" s="215">
        <v>0</v>
      </c>
      <c r="D67" s="502">
        <v>20570.088</v>
      </c>
      <c r="E67" s="215">
        <v>0</v>
      </c>
      <c r="F67" s="503">
        <f>C67+D67-E67</f>
        <v>20570.088</v>
      </c>
      <c r="G67" s="61" t="str">
        <f>IF($C$61="unit","",$C$61)</f>
        <v>tonnes</v>
      </c>
    </row>
    <row r="68" spans="2:7" x14ac:dyDescent="0.3">
      <c r="B68" s="526" t="s">
        <v>419</v>
      </c>
      <c r="C68" s="215">
        <v>0</v>
      </c>
      <c r="D68" s="215">
        <v>21780.093000000001</v>
      </c>
      <c r="E68" s="215">
        <v>0</v>
      </c>
      <c r="F68" s="503">
        <f t="shared" ref="F68:F90" si="0">C68+D68-E68</f>
        <v>21780.093000000001</v>
      </c>
      <c r="G68" s="61" t="str">
        <f t="shared" ref="G68:G90" si="1">IF($C$61="unit","",$C$61)</f>
        <v>tonnes</v>
      </c>
    </row>
    <row r="69" spans="2:7" x14ac:dyDescent="0.3">
      <c r="B69" s="525" t="s">
        <v>420</v>
      </c>
      <c r="C69" s="215">
        <v>0</v>
      </c>
      <c r="D69" s="502">
        <v>23474.100999999999</v>
      </c>
      <c r="E69" s="215">
        <v>0</v>
      </c>
      <c r="F69" s="503">
        <f t="shared" si="0"/>
        <v>23474.100999999999</v>
      </c>
      <c r="G69" s="61" t="str">
        <f t="shared" si="1"/>
        <v>tonnes</v>
      </c>
    </row>
    <row r="70" spans="2:7" x14ac:dyDescent="0.3">
      <c r="B70" s="526" t="s">
        <v>421</v>
      </c>
      <c r="C70" s="215">
        <v>0</v>
      </c>
      <c r="D70" s="502">
        <v>23958.102999999999</v>
      </c>
      <c r="E70" s="215">
        <v>0</v>
      </c>
      <c r="F70" s="503">
        <f t="shared" si="0"/>
        <v>23958.102999999999</v>
      </c>
      <c r="G70" s="61" t="str">
        <f t="shared" si="1"/>
        <v>tonnes</v>
      </c>
    </row>
    <row r="71" spans="2:7" x14ac:dyDescent="0.3">
      <c r="B71" s="525" t="s">
        <v>422</v>
      </c>
      <c r="C71" s="215">
        <v>0</v>
      </c>
      <c r="D71" s="502">
        <v>21054.09</v>
      </c>
      <c r="E71" s="215">
        <v>0</v>
      </c>
      <c r="F71" s="503">
        <f t="shared" si="0"/>
        <v>21054.09</v>
      </c>
      <c r="G71" s="61" t="str">
        <f t="shared" si="1"/>
        <v>tonnes</v>
      </c>
    </row>
    <row r="72" spans="2:7" x14ac:dyDescent="0.3">
      <c r="B72" s="526" t="s">
        <v>423</v>
      </c>
      <c r="C72" s="215">
        <v>0</v>
      </c>
      <c r="D72" s="502">
        <v>20812.089</v>
      </c>
      <c r="E72" s="215">
        <v>0</v>
      </c>
      <c r="F72" s="503">
        <f t="shared" si="0"/>
        <v>20812.089</v>
      </c>
      <c r="G72" s="61" t="str">
        <f t="shared" si="1"/>
        <v>tonnes</v>
      </c>
    </row>
    <row r="73" spans="2:7" x14ac:dyDescent="0.3">
      <c r="B73" s="525" t="s">
        <v>424</v>
      </c>
      <c r="C73" s="215">
        <v>0</v>
      </c>
      <c r="D73" s="502">
        <v>22506.096000000001</v>
      </c>
      <c r="E73" s="215">
        <v>0</v>
      </c>
      <c r="F73" s="503">
        <f t="shared" si="0"/>
        <v>22506.096000000001</v>
      </c>
      <c r="G73" s="61" t="str">
        <f t="shared" si="1"/>
        <v>tonnes</v>
      </c>
    </row>
    <row r="74" spans="2:7" x14ac:dyDescent="0.3">
      <c r="B74" s="526" t="s">
        <v>425</v>
      </c>
      <c r="C74" s="215">
        <v>0</v>
      </c>
      <c r="D74" s="502">
        <v>22990.098999999998</v>
      </c>
      <c r="E74" s="215">
        <v>0</v>
      </c>
      <c r="F74" s="503">
        <f t="shared" si="0"/>
        <v>22990.098999999998</v>
      </c>
      <c r="G74" s="61" t="str">
        <f t="shared" si="1"/>
        <v>tonnes</v>
      </c>
    </row>
    <row r="75" spans="2:7" x14ac:dyDescent="0.3">
      <c r="B75" s="525" t="s">
        <v>426</v>
      </c>
      <c r="C75" s="215">
        <v>0</v>
      </c>
      <c r="D75" s="502">
        <v>22022.094000000001</v>
      </c>
      <c r="E75" s="215">
        <v>0</v>
      </c>
      <c r="F75" s="503">
        <f t="shared" si="0"/>
        <v>22022.094000000001</v>
      </c>
      <c r="G75" s="61" t="str">
        <f t="shared" si="1"/>
        <v>tonnes</v>
      </c>
    </row>
    <row r="76" spans="2:7" x14ac:dyDescent="0.3">
      <c r="B76" s="526" t="s">
        <v>427</v>
      </c>
      <c r="C76" s="215">
        <v>0</v>
      </c>
      <c r="D76" s="502">
        <v>21538.092000000001</v>
      </c>
      <c r="E76" s="215">
        <v>0</v>
      </c>
      <c r="F76" s="503">
        <f t="shared" si="0"/>
        <v>21538.092000000001</v>
      </c>
      <c r="G76" s="61" t="str">
        <f t="shared" si="1"/>
        <v>tonnes</v>
      </c>
    </row>
    <row r="77" spans="2:7" x14ac:dyDescent="0.3">
      <c r="B77" s="525" t="s">
        <v>428</v>
      </c>
      <c r="C77" s="215">
        <v>0</v>
      </c>
      <c r="D77" s="502">
        <v>23716.101999999999</v>
      </c>
      <c r="E77" s="215">
        <v>0</v>
      </c>
      <c r="F77" s="503">
        <f t="shared" si="0"/>
        <v>23716.101999999999</v>
      </c>
      <c r="G77" s="61" t="str">
        <f t="shared" si="1"/>
        <v>tonnes</v>
      </c>
    </row>
    <row r="78" spans="2:7" x14ac:dyDescent="0.3">
      <c r="B78" s="526" t="s">
        <v>429</v>
      </c>
      <c r="C78" s="215">
        <v>0</v>
      </c>
      <c r="D78" s="502">
        <v>22264.095000000001</v>
      </c>
      <c r="E78" s="215">
        <v>0</v>
      </c>
      <c r="F78" s="503">
        <f t="shared" si="0"/>
        <v>22264.095000000001</v>
      </c>
      <c r="G78" s="61" t="str">
        <f t="shared" si="1"/>
        <v>tonnes</v>
      </c>
    </row>
    <row r="79" spans="2:7" x14ac:dyDescent="0.3">
      <c r="B79" s="525" t="s">
        <v>430</v>
      </c>
      <c r="C79" s="215">
        <v>0</v>
      </c>
      <c r="D79" s="502">
        <v>27830.118999999999</v>
      </c>
      <c r="E79" s="215">
        <v>0</v>
      </c>
      <c r="F79" s="503">
        <f t="shared" si="0"/>
        <v>27830.118999999999</v>
      </c>
      <c r="G79" s="61" t="str">
        <f t="shared" si="1"/>
        <v>tonnes</v>
      </c>
    </row>
    <row r="80" spans="2:7" x14ac:dyDescent="0.3">
      <c r="B80" s="526" t="s">
        <v>431</v>
      </c>
      <c r="C80" s="215">
        <v>0</v>
      </c>
      <c r="D80" s="502">
        <v>26620.114000000001</v>
      </c>
      <c r="E80" s="215">
        <v>0</v>
      </c>
      <c r="F80" s="503">
        <f t="shared" si="0"/>
        <v>26620.114000000001</v>
      </c>
      <c r="G80" s="61" t="str">
        <f t="shared" si="1"/>
        <v>tonnes</v>
      </c>
    </row>
    <row r="81" spans="1:7" x14ac:dyDescent="0.3">
      <c r="B81" s="525" t="s">
        <v>432</v>
      </c>
      <c r="C81" s="215">
        <v>0</v>
      </c>
      <c r="D81" s="502">
        <v>24926.107</v>
      </c>
      <c r="E81" s="215">
        <v>0</v>
      </c>
      <c r="F81" s="503">
        <f t="shared" si="0"/>
        <v>24926.107</v>
      </c>
      <c r="G81" s="61" t="str">
        <f t="shared" si="1"/>
        <v>tonnes</v>
      </c>
    </row>
    <row r="82" spans="1:7" x14ac:dyDescent="0.3">
      <c r="B82" s="526" t="s">
        <v>433</v>
      </c>
      <c r="C82" s="215">
        <v>0</v>
      </c>
      <c r="D82" s="502">
        <v>24442.105</v>
      </c>
      <c r="E82" s="215">
        <v>0</v>
      </c>
      <c r="F82" s="503">
        <f t="shared" si="0"/>
        <v>24442.105</v>
      </c>
      <c r="G82" s="61" t="str">
        <f t="shared" si="1"/>
        <v>tonnes</v>
      </c>
    </row>
    <row r="83" spans="1:7" x14ac:dyDescent="0.3">
      <c r="B83" s="525" t="s">
        <v>434</v>
      </c>
      <c r="C83" s="215">
        <v>0</v>
      </c>
      <c r="D83" s="502">
        <v>27346.116999999998</v>
      </c>
      <c r="E83" s="215">
        <v>0</v>
      </c>
      <c r="F83" s="503">
        <f t="shared" si="0"/>
        <v>27346.116999999998</v>
      </c>
      <c r="G83" s="61" t="str">
        <f t="shared" si="1"/>
        <v>tonnes</v>
      </c>
    </row>
    <row r="84" spans="1:7" x14ac:dyDescent="0.3">
      <c r="B84" s="526" t="s">
        <v>435</v>
      </c>
      <c r="C84" s="215">
        <v>0</v>
      </c>
      <c r="D84" s="502">
        <v>27588.117999999999</v>
      </c>
      <c r="E84" s="215">
        <v>0</v>
      </c>
      <c r="F84" s="503">
        <f t="shared" si="0"/>
        <v>27588.117999999999</v>
      </c>
      <c r="G84" s="61" t="str">
        <f t="shared" si="1"/>
        <v>tonnes</v>
      </c>
    </row>
    <row r="85" spans="1:7" x14ac:dyDescent="0.3">
      <c r="B85" s="525" t="s">
        <v>436</v>
      </c>
      <c r="C85" s="215">
        <v>0</v>
      </c>
      <c r="D85" s="502">
        <v>25894.111000000001</v>
      </c>
      <c r="E85" s="215">
        <v>0</v>
      </c>
      <c r="F85" s="503">
        <f t="shared" si="0"/>
        <v>25894.111000000001</v>
      </c>
      <c r="G85" s="61" t="str">
        <f t="shared" si="1"/>
        <v>tonnes</v>
      </c>
    </row>
    <row r="86" spans="1:7" x14ac:dyDescent="0.3">
      <c r="B86" s="526" t="s">
        <v>437</v>
      </c>
      <c r="C86" s="215">
        <v>0</v>
      </c>
      <c r="D86" s="502">
        <v>25410.109</v>
      </c>
      <c r="E86" s="215">
        <v>0</v>
      </c>
      <c r="F86" s="503">
        <f t="shared" si="0"/>
        <v>25410.109</v>
      </c>
      <c r="G86" s="61" t="str">
        <f t="shared" si="1"/>
        <v>tonnes</v>
      </c>
    </row>
    <row r="87" spans="1:7" x14ac:dyDescent="0.3">
      <c r="B87" s="525" t="s">
        <v>438</v>
      </c>
      <c r="C87" s="215">
        <v>0</v>
      </c>
      <c r="D87" s="502">
        <v>26378.113000000001</v>
      </c>
      <c r="E87" s="215">
        <v>0</v>
      </c>
      <c r="F87" s="503">
        <f t="shared" si="0"/>
        <v>26378.113000000001</v>
      </c>
      <c r="G87" s="61" t="str">
        <f t="shared" si="1"/>
        <v>tonnes</v>
      </c>
    </row>
    <row r="88" spans="1:7" x14ac:dyDescent="0.3">
      <c r="B88" s="526" t="s">
        <v>439</v>
      </c>
      <c r="C88" s="215">
        <v>0</v>
      </c>
      <c r="D88" s="502">
        <v>26862.115000000002</v>
      </c>
      <c r="E88" s="215">
        <v>0</v>
      </c>
      <c r="F88" s="503">
        <f t="shared" si="0"/>
        <v>26862.115000000002</v>
      </c>
      <c r="G88" s="61" t="str">
        <f t="shared" si="1"/>
        <v>tonnes</v>
      </c>
    </row>
    <row r="89" spans="1:7" x14ac:dyDescent="0.3">
      <c r="B89" s="525" t="s">
        <v>440</v>
      </c>
      <c r="C89" s="215">
        <v>0</v>
      </c>
      <c r="D89" s="502">
        <v>24684.106</v>
      </c>
      <c r="E89" s="215">
        <v>0</v>
      </c>
      <c r="F89" s="503">
        <f t="shared" si="0"/>
        <v>24684.106</v>
      </c>
      <c r="G89" s="61" t="str">
        <f t="shared" si="1"/>
        <v>tonnes</v>
      </c>
    </row>
    <row r="90" spans="1:7" x14ac:dyDescent="0.3">
      <c r="B90" s="526" t="s">
        <v>441</v>
      </c>
      <c r="C90" s="215">
        <v>0</v>
      </c>
      <c r="D90" s="502">
        <v>26136.112000000001</v>
      </c>
      <c r="E90" s="215">
        <v>0</v>
      </c>
      <c r="F90" s="503">
        <f t="shared" si="0"/>
        <v>26136.112000000001</v>
      </c>
      <c r="G90" s="61" t="str">
        <f t="shared" si="1"/>
        <v>tonnes</v>
      </c>
    </row>
    <row r="91" spans="1:7" x14ac:dyDescent="0.3">
      <c r="B91" s="14" t="s">
        <v>442</v>
      </c>
      <c r="F91" s="504">
        <f>SUM(F67:F90)</f>
        <v>580802.48800000001</v>
      </c>
      <c r="G91" s="202" t="str">
        <f>IF($C$61="unit","",$C$61)</f>
        <v>tonnes</v>
      </c>
    </row>
    <row r="92" spans="1:7" s="15" customFormat="1" x14ac:dyDescent="0.3">
      <c r="D92" s="21"/>
    </row>
    <row r="93" spans="1:7" s="15" customFormat="1" x14ac:dyDescent="0.3">
      <c r="B93" s="16"/>
      <c r="D93" s="21"/>
    </row>
    <row r="94" spans="1:7" s="6" customFormat="1" x14ac:dyDescent="0.3">
      <c r="A94" s="6" t="s">
        <v>443</v>
      </c>
      <c r="D94" s="20"/>
    </row>
    <row r="95" spans="1:7" s="15" customFormat="1" x14ac:dyDescent="0.3">
      <c r="B95" s="54"/>
      <c r="D95" s="21"/>
    </row>
    <row r="96" spans="1:7" ht="28.8" x14ac:dyDescent="0.3">
      <c r="B96" s="80" t="s">
        <v>444</v>
      </c>
      <c r="C96" s="10" t="s">
        <v>445</v>
      </c>
      <c r="D96" s="5"/>
      <c r="E96" s="28"/>
    </row>
    <row r="97" spans="1:6" ht="28.8" x14ac:dyDescent="0.3">
      <c r="B97" s="80" t="s">
        <v>446</v>
      </c>
      <c r="C97" s="10" t="s">
        <v>447</v>
      </c>
      <c r="D97" s="83" t="s">
        <v>448</v>
      </c>
      <c r="E97" s="28"/>
    </row>
    <row r="98" spans="1:6" ht="43.5" customHeight="1" x14ac:dyDescent="0.3">
      <c r="B98" s="80" t="s">
        <v>449</v>
      </c>
      <c r="C98" s="506">
        <f>1-C63</f>
        <v>0.85571249996091614</v>
      </c>
      <c r="D98" s="116" t="s">
        <v>450</v>
      </c>
      <c r="E98" s="598" t="s">
        <v>451</v>
      </c>
      <c r="F98" s="598"/>
    </row>
    <row r="99" spans="1:6" ht="43.5" customHeight="1" x14ac:dyDescent="0.3">
      <c r="B99" s="80" t="str">
        <f>CONCATENATE("Conversion factor from ", C61, " to ", C96)</f>
        <v>Conversion factor from tonnes to Mass unit</v>
      </c>
      <c r="C99" s="505">
        <f>'ECCC Parameters'!D7</f>
        <v>1</v>
      </c>
      <c r="D99" s="117" t="str">
        <f>CONCATENATE(C97," /", C61)</f>
        <v>t /tonnes</v>
      </c>
      <c r="E99" s="598" t="s">
        <v>452</v>
      </c>
      <c r="F99" s="598"/>
    </row>
    <row r="101" spans="1:6" s="6" customFormat="1" x14ac:dyDescent="0.3">
      <c r="A101" s="6" t="s">
        <v>453</v>
      </c>
      <c r="D101" s="20"/>
    </row>
    <row r="102" spans="1:6" x14ac:dyDescent="0.3">
      <c r="D102" s="5"/>
    </row>
    <row r="103" spans="1:6" x14ac:dyDescent="0.3">
      <c r="B103" s="7" t="s">
        <v>364</v>
      </c>
      <c r="C103" s="135" t="s">
        <v>442</v>
      </c>
      <c r="D103" s="50" t="s">
        <v>454</v>
      </c>
    </row>
    <row r="104" spans="1:6" x14ac:dyDescent="0.3">
      <c r="B104" s="88" t="str">
        <f>IF(C13="Select feedstock type ()","",C13)</f>
        <v>Corn (Global)</v>
      </c>
      <c r="C104" s="582">
        <f>IF(C62="Dry basis",F91*C99,F91*C99*C98)</f>
        <v>496999.94899</v>
      </c>
      <c r="D104" s="276" t="str">
        <f>C97</f>
        <v>t</v>
      </c>
      <c r="E104" s="118" t="s">
        <v>455</v>
      </c>
    </row>
    <row r="107" spans="1:6" x14ac:dyDescent="0.3">
      <c r="B107" s="274" t="s">
        <v>456</v>
      </c>
    </row>
  </sheetData>
  <customSheetViews>
    <customSheetView guid="{A8E9A491-4491-4848-9959-58297999E6F5}" scale="85" showGridLines="0" topLeftCell="A31">
      <selection activeCell="C14" sqref="C14"/>
      <pageMargins left="0" right="0" top="0" bottom="0" header="0" footer="0"/>
      <pageSetup orientation="portrait" r:id="rId1"/>
    </customSheetView>
    <customSheetView guid="{CBE97499-8DE4-4834-9D9F-4D852DB24A20}" scale="85" showGridLines="0">
      <selection activeCell="C13" sqref="C13"/>
      <pageMargins left="0" right="0" top="0" bottom="0" header="0" footer="0"/>
      <pageSetup orientation="portrait" r:id="rId2"/>
    </customSheetView>
    <customSheetView guid="{BAC701C4-B534-4ABA-907B-FE30A3505B8B}" scale="85" showGridLines="0" topLeftCell="A64">
      <selection activeCell="C8" sqref="C8"/>
      <pageMargins left="0" right="0" top="0" bottom="0" header="0" footer="0"/>
      <pageSetup orientation="portrait" r:id="rId3"/>
    </customSheetView>
    <customSheetView guid="{3F555A8F-379C-4D2D-833A-FF346FE5F044}" scale="85" showGridLines="0">
      <selection activeCell="C13" sqref="C13"/>
      <pageMargins left="0" right="0" top="0" bottom="0" header="0" footer="0"/>
      <pageSetup orientation="portrait" r:id="rId4"/>
    </customSheetView>
    <customSheetView guid="{61CEA325-629A-4670-A66B-4314E031BBF1}" scale="85" showGridLines="0">
      <selection activeCell="C40" sqref="C40"/>
      <pageMargins left="0" right="0" top="0" bottom="0" header="0" footer="0"/>
      <pageSetup orientation="portrait" r:id="rId5"/>
    </customSheetView>
  </customSheetViews>
  <mergeCells count="8">
    <mergeCell ref="E98:F98"/>
    <mergeCell ref="E99:F99"/>
    <mergeCell ref="E32:E34"/>
    <mergeCell ref="D61:E61"/>
    <mergeCell ref="D63:E63"/>
    <mergeCell ref="E38:E40"/>
    <mergeCell ref="B66:E66"/>
    <mergeCell ref="E54:E56"/>
  </mergeCells>
  <phoneticPr fontId="67" type="noConversion"/>
  <hyperlinks>
    <hyperlink ref="B107" location="Allocation!A1" display="Allocation!A1" xr:uid="{00000000-0004-0000-0400-000000000000}"/>
  </hyperlinks>
  <pageMargins left="0.7" right="0.7" top="0.75" bottom="0.75" header="0.3" footer="0.3"/>
  <pageSetup orientation="portrait" r:id="rId6"/>
  <ignoredErrors>
    <ignoredError sqref="C104" evalError="1"/>
  </ignoredErrors>
  <drawing r:id="rId7"/>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Lists!$E$5:$E$8</xm:f>
          </x14:formula1>
          <xm:sqref>C14</xm:sqref>
        </x14:dataValidation>
        <x14:dataValidation type="list" allowBlank="1" showInputMessage="1" showErrorMessage="1" xr:uid="{00000000-0002-0000-0400-000001000000}">
          <x14:formula1>
            <xm:f>OFFSET(Lists!$Z$4,1,MATCH($C96,Lists!$Z$4:$AA$4,0)-1,26,1)</xm:f>
          </x14:formula1>
          <xm:sqref>C97</xm:sqref>
        </x14:dataValidation>
        <x14:dataValidation type="list" allowBlank="1" showInputMessage="1" showErrorMessage="1" xr:uid="{00000000-0002-0000-0400-000002000000}">
          <x14:formula1>
            <xm:f>Lists!$I$5:$I$7</xm:f>
          </x14:formula1>
          <xm:sqref>C62</xm:sqref>
        </x14:dataValidation>
        <x14:dataValidation type="list" allowBlank="1" showInputMessage="1" showErrorMessage="1" xr:uid="{00000000-0002-0000-0400-000003000000}">
          <x14:formula1>
            <xm:f>Lists!$H$5:$H$7</xm:f>
          </x14:formula1>
          <xm:sqref>C42</xm:sqref>
        </x14:dataValidation>
        <x14:dataValidation type="list" allowBlank="1" showInputMessage="1" showErrorMessage="1" xr:uid="{00000000-0002-0000-0400-000004000000}">
          <x14:formula1>
            <xm:f>Lists!$B$5:$B$8</xm:f>
          </x14:formula1>
          <xm:sqref>C28</xm:sqref>
        </x14:dataValidation>
        <x14:dataValidation type="list" allowBlank="1" showInputMessage="1" showErrorMessage="1" xr:uid="{00000000-0002-0000-0400-000005000000}">
          <x14:formula1>
            <xm:f>Lists!$Z$4:$AA$4</xm:f>
          </x14:formula1>
          <xm:sqref>C96</xm:sqref>
        </x14:dataValidation>
        <x14:dataValidation type="list" allowBlank="1" showInputMessage="1" showErrorMessage="1" xr:uid="{00000000-0002-0000-0400-000006000000}">
          <x14:formula1>
            <xm:f>Lists!$J$5:$J$27</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FE491-765F-4613-AF69-A4111BCDFA06}">
  <sheetPr>
    <tabColor theme="4"/>
  </sheetPr>
  <dimension ref="A1:N107"/>
  <sheetViews>
    <sheetView showGridLines="0" topLeftCell="A63" zoomScale="85" zoomScaleNormal="85" workbookViewId="0">
      <selection activeCell="C104" sqref="C104"/>
    </sheetView>
  </sheetViews>
  <sheetFormatPr defaultColWidth="11.44140625" defaultRowHeight="14.4" x14ac:dyDescent="0.3"/>
  <cols>
    <col min="1" max="1" width="6.44140625" style="5" customWidth="1"/>
    <col min="2" max="2" width="40.109375" style="5" customWidth="1"/>
    <col min="3" max="3" width="45.88671875" style="5" customWidth="1"/>
    <col min="4" max="4" width="59.109375" style="21" customWidth="1"/>
    <col min="5" max="5" width="78.6640625" style="5" customWidth="1"/>
    <col min="6" max="6" width="28.109375" style="5" customWidth="1"/>
    <col min="7" max="8" width="12.88671875" style="5" customWidth="1"/>
    <col min="9" max="16384" width="11.44140625" style="5"/>
  </cols>
  <sheetData>
    <row r="1" spans="1:14" x14ac:dyDescent="0.3">
      <c r="A1" s="347"/>
    </row>
    <row r="2" spans="1:14" s="96" customFormat="1" x14ac:dyDescent="0.3">
      <c r="A2" s="96" t="s">
        <v>352</v>
      </c>
    </row>
    <row r="3" spans="1:14" s="32" customFormat="1" x14ac:dyDescent="0.3">
      <c r="A3" s="66" t="s">
        <v>353</v>
      </c>
      <c r="C3" s="5"/>
    </row>
    <row r="4" spans="1:14" s="32" customFormat="1" x14ac:dyDescent="0.3">
      <c r="A4" s="66" t="s">
        <v>354</v>
      </c>
      <c r="C4" s="5"/>
    </row>
    <row r="5" spans="1:14" s="32" customFormat="1" x14ac:dyDescent="0.3">
      <c r="A5" s="66" t="s">
        <v>355</v>
      </c>
      <c r="C5" s="5"/>
    </row>
    <row r="6" spans="1:14" s="32" customFormat="1" x14ac:dyDescent="0.3">
      <c r="B6" s="66"/>
      <c r="C6" s="5"/>
    </row>
    <row r="7" spans="1:14" s="6" customFormat="1" x14ac:dyDescent="0.3">
      <c r="A7" s="6" t="s">
        <v>356</v>
      </c>
      <c r="C7" s="53"/>
    </row>
    <row r="8" spans="1:14" s="32" customFormat="1" x14ac:dyDescent="0.3">
      <c r="C8" s="58"/>
    </row>
    <row r="9" spans="1:14" s="32" customFormat="1" x14ac:dyDescent="0.3">
      <c r="A9" s="75" t="s">
        <v>357</v>
      </c>
      <c r="C9" s="58"/>
    </row>
    <row r="10" spans="1:14" x14ac:dyDescent="0.3">
      <c r="B10" s="80" t="s">
        <v>358</v>
      </c>
      <c r="C10" s="24" t="s">
        <v>457</v>
      </c>
      <c r="D10" s="5"/>
    </row>
    <row r="11" spans="1:14" ht="86.4" x14ac:dyDescent="0.3">
      <c r="B11" s="294" t="s">
        <v>359</v>
      </c>
      <c r="C11" s="360" t="s">
        <v>360</v>
      </c>
      <c r="D11" s="104" t="s">
        <v>361</v>
      </c>
      <c r="E11" s="28"/>
    </row>
    <row r="12" spans="1:14" ht="39.6" customHeight="1" x14ac:dyDescent="0.3">
      <c r="B12" s="81" t="s">
        <v>362</v>
      </c>
      <c r="C12" s="9"/>
      <c r="D12" s="104" t="s">
        <v>363</v>
      </c>
    </row>
    <row r="13" spans="1:14" ht="57.6" x14ac:dyDescent="0.3">
      <c r="B13" s="80" t="s">
        <v>364</v>
      </c>
      <c r="C13" s="95" t="str">
        <f>IF(C14="Configurable unit process",CONCATENATE(C10," (",C12,")"),IF(C10="Select feedstock type","",(IF(C10="New feedstock",CONCATENATE(C18," (",C11,")"),CONCATENATE(C10," (",C11,")")))))</f>
        <v>Wheat (non-durum) (Global)</v>
      </c>
      <c r="D13" s="369" t="s">
        <v>365</v>
      </c>
    </row>
    <row r="14" spans="1:14" x14ac:dyDescent="0.3">
      <c r="B14" s="80" t="s">
        <v>366</v>
      </c>
      <c r="C14" s="69" t="s">
        <v>367</v>
      </c>
      <c r="D14" s="370"/>
      <c r="F14" s="21"/>
      <c r="N14" s="19"/>
    </row>
    <row r="15" spans="1:14" customFormat="1" x14ac:dyDescent="0.3">
      <c r="B15" s="49" t="s">
        <v>27</v>
      </c>
      <c r="C15" s="69"/>
    </row>
    <row r="16" spans="1:14" x14ac:dyDescent="0.3">
      <c r="D16" s="5"/>
    </row>
    <row r="17" spans="1:14" x14ac:dyDescent="0.3">
      <c r="B17" s="25" t="s">
        <v>369</v>
      </c>
      <c r="D17" s="23"/>
      <c r="N17" s="19"/>
    </row>
    <row r="18" spans="1:14" x14ac:dyDescent="0.3">
      <c r="B18" s="80" t="s">
        <v>370</v>
      </c>
      <c r="C18" s="9"/>
      <c r="D18" s="23"/>
    </row>
    <row r="19" spans="1:14" ht="28.8" x14ac:dyDescent="0.3">
      <c r="B19" s="92" t="s">
        <v>371</v>
      </c>
      <c r="C19" s="9"/>
      <c r="D19" s="23"/>
      <c r="F19" s="21"/>
      <c r="N19" s="19"/>
    </row>
    <row r="20" spans="1:14" x14ac:dyDescent="0.3">
      <c r="B20" s="89" t="s">
        <v>372</v>
      </c>
      <c r="C20" s="9"/>
      <c r="D20" s="5"/>
      <c r="F20" s="21"/>
      <c r="N20" s="19"/>
    </row>
    <row r="21" spans="1:14" x14ac:dyDescent="0.3">
      <c r="D21" s="5"/>
      <c r="F21" s="21"/>
      <c r="N21" s="19"/>
    </row>
    <row r="22" spans="1:14" s="32" customFormat="1" x14ac:dyDescent="0.3">
      <c r="A22" s="75" t="s">
        <v>373</v>
      </c>
      <c r="C22" s="58"/>
    </row>
    <row r="23" spans="1:14" ht="32.25" customHeight="1" x14ac:dyDescent="0.3">
      <c r="B23" s="80" t="s">
        <v>126</v>
      </c>
      <c r="C23" s="360">
        <f>'ECCC Parameters'!C48</f>
        <v>60</v>
      </c>
      <c r="D23" s="9" t="str">
        <f>'ECCC Parameters'!D48</f>
        <v>wet lbs/bushel</v>
      </c>
      <c r="E23" s="139" t="s">
        <v>374</v>
      </c>
    </row>
    <row r="24" spans="1:14" x14ac:dyDescent="0.3">
      <c r="D24" s="5"/>
    </row>
    <row r="25" spans="1:14" s="6" customFormat="1" x14ac:dyDescent="0.3">
      <c r="A25" s="6" t="s">
        <v>375</v>
      </c>
    </row>
    <row r="26" spans="1:14" s="33" customFormat="1" x14ac:dyDescent="0.3">
      <c r="A26" s="96" t="s">
        <v>376</v>
      </c>
    </row>
    <row r="27" spans="1:14" s="33" customFormat="1" x14ac:dyDescent="0.3">
      <c r="A27" s="96"/>
    </row>
    <row r="28" spans="1:14" x14ac:dyDescent="0.3">
      <c r="B28" s="8" t="s">
        <v>377</v>
      </c>
      <c r="C28" s="24" t="s">
        <v>378</v>
      </c>
      <c r="D28" s="11"/>
    </row>
    <row r="29" spans="1:14" x14ac:dyDescent="0.3">
      <c r="D29" s="11"/>
    </row>
    <row r="30" spans="1:14" x14ac:dyDescent="0.3">
      <c r="B30" s="25" t="s">
        <v>379</v>
      </c>
      <c r="D30" s="11"/>
    </row>
    <row r="31" spans="1:14" ht="28.8" x14ac:dyDescent="0.3">
      <c r="B31" s="76" t="s">
        <v>380</v>
      </c>
      <c r="C31" s="76" t="s">
        <v>381</v>
      </c>
      <c r="D31" s="76" t="s">
        <v>127</v>
      </c>
    </row>
    <row r="32" spans="1:14" ht="54.9" customHeight="1" x14ac:dyDescent="0.3">
      <c r="B32" s="82" t="s">
        <v>382</v>
      </c>
      <c r="C32" s="497" cm="1">
        <f t="array" ref="C32">'Side Calc. - Wheat transport'!$E$36:$E$36</f>
        <v>794.73666335522125</v>
      </c>
      <c r="D32" s="84" t="s">
        <v>383</v>
      </c>
      <c r="E32" s="657" t="s">
        <v>384</v>
      </c>
    </row>
    <row r="33" spans="2:8" ht="54.9" customHeight="1" x14ac:dyDescent="0.3">
      <c r="B33" s="82" t="s">
        <v>385</v>
      </c>
      <c r="C33" s="94"/>
      <c r="D33" s="84" t="s">
        <v>383</v>
      </c>
      <c r="E33" s="657"/>
    </row>
    <row r="34" spans="2:8" ht="54.9" customHeight="1" x14ac:dyDescent="0.3">
      <c r="B34" s="82" t="s">
        <v>386</v>
      </c>
      <c r="C34" s="94"/>
      <c r="D34" s="84" t="s">
        <v>383</v>
      </c>
      <c r="E34" s="657"/>
    </row>
    <row r="35" spans="2:8" ht="42.9" customHeight="1" x14ac:dyDescent="0.3">
      <c r="B35" s="23"/>
      <c r="C35" s="23"/>
      <c r="D35" s="59"/>
    </row>
    <row r="36" spans="2:8" x14ac:dyDescent="0.3">
      <c r="B36" s="25" t="s">
        <v>387</v>
      </c>
      <c r="D36" s="23"/>
    </row>
    <row r="37" spans="2:8" x14ac:dyDescent="0.3">
      <c r="B37" s="76" t="s">
        <v>380</v>
      </c>
      <c r="C37" s="76" t="s">
        <v>388</v>
      </c>
      <c r="D37" s="76" t="s">
        <v>127</v>
      </c>
    </row>
    <row r="38" spans="2:8" ht="45.75" customHeight="1" x14ac:dyDescent="0.3">
      <c r="B38" s="82" t="s">
        <v>382</v>
      </c>
      <c r="C38" s="106"/>
      <c r="D38" s="84" t="s">
        <v>120</v>
      </c>
      <c r="E38" s="658" t="s">
        <v>389</v>
      </c>
    </row>
    <row r="39" spans="2:8" ht="45.75" customHeight="1" x14ac:dyDescent="0.3">
      <c r="B39" s="82" t="s">
        <v>385</v>
      </c>
      <c r="C39" s="94"/>
      <c r="D39" s="84" t="s">
        <v>120</v>
      </c>
      <c r="E39" s="659"/>
    </row>
    <row r="40" spans="2:8" ht="45.75" customHeight="1" x14ac:dyDescent="0.3">
      <c r="B40" s="82" t="s">
        <v>386</v>
      </c>
      <c r="C40" s="94"/>
      <c r="D40" s="84" t="s">
        <v>120</v>
      </c>
      <c r="E40" s="660"/>
    </row>
    <row r="41" spans="2:8" ht="49.5" customHeight="1" x14ac:dyDescent="0.3">
      <c r="B41" s="25"/>
      <c r="D41" s="23"/>
      <c r="H41" s="5" t="s">
        <v>118</v>
      </c>
    </row>
    <row r="42" spans="2:8" x14ac:dyDescent="0.3">
      <c r="B42" s="110" t="s">
        <v>390</v>
      </c>
      <c r="C42" s="24" t="s">
        <v>391</v>
      </c>
      <c r="D42" s="76" t="s">
        <v>127</v>
      </c>
    </row>
    <row r="43" spans="2:8" ht="144" x14ac:dyDescent="0.3">
      <c r="B43" s="81" t="s">
        <v>392</v>
      </c>
      <c r="C43" s="150" t="str">
        <f>IF(OR(C28="Predefined transport scenario",C28="Hybrid option - Applicant data and Predefined transport scenario"), IFERROR(1/(1-C63),""),"")</f>
        <v/>
      </c>
      <c r="D43" s="84" t="s">
        <v>393</v>
      </c>
      <c r="E43" s="104" t="s">
        <v>394</v>
      </c>
    </row>
    <row r="44" spans="2:8" x14ac:dyDescent="0.3">
      <c r="B44" s="54"/>
      <c r="C44" s="361"/>
      <c r="D44" s="143"/>
      <c r="E44" s="79"/>
    </row>
    <row r="45" spans="2:8" x14ac:dyDescent="0.3">
      <c r="B45" s="25" t="s">
        <v>395</v>
      </c>
      <c r="C45" s="11"/>
      <c r="D45" s="11"/>
    </row>
    <row r="46" spans="2:8" ht="43.2" x14ac:dyDescent="0.3">
      <c r="B46" s="76" t="s">
        <v>380</v>
      </c>
      <c r="C46" s="137" t="s">
        <v>396</v>
      </c>
      <c r="D46" s="138" t="s">
        <v>397</v>
      </c>
      <c r="E46" s="138" t="s">
        <v>127</v>
      </c>
      <c r="F46" s="137" t="s">
        <v>398</v>
      </c>
    </row>
    <row r="47" spans="2:8" ht="57.6" x14ac:dyDescent="0.3">
      <c r="B47" s="76"/>
      <c r="C47" s="104" t="s">
        <v>399</v>
      </c>
      <c r="D47" s="138"/>
      <c r="E47" s="138"/>
      <c r="F47" s="104"/>
    </row>
    <row r="48" spans="2:8" x14ac:dyDescent="0.3">
      <c r="B48" s="82" t="s">
        <v>382</v>
      </c>
      <c r="C48" s="106"/>
      <c r="D48" s="84" t="str">
        <f>$C$62</f>
        <v>Wet basis</v>
      </c>
      <c r="E48" s="84" t="str">
        <f>$C$61</f>
        <v>tonnes</v>
      </c>
      <c r="F48" s="363" t="str">
        <f>IF($C$28="Hybrid option - Applicant data and Predefined transport scenario", IFERROR(C48/SUM($D$67:$D$90),""),"")</f>
        <v/>
      </c>
    </row>
    <row r="49" spans="1:6" x14ac:dyDescent="0.3">
      <c r="B49" s="82" t="s">
        <v>385</v>
      </c>
      <c r="C49" s="94"/>
      <c r="D49" s="84" t="str">
        <f>$C$62</f>
        <v>Wet basis</v>
      </c>
      <c r="E49" s="84" t="str">
        <f>$C$61</f>
        <v>tonnes</v>
      </c>
      <c r="F49" s="363" t="str">
        <f>IF($C$28="Hybrid option - Applicant data and Predefined transport scenario", IFERROR(C49/SUM($D$67:$D$90),""),"")</f>
        <v/>
      </c>
    </row>
    <row r="50" spans="1:6" x14ac:dyDescent="0.3">
      <c r="B50" s="82" t="s">
        <v>386</v>
      </c>
      <c r="C50" s="94"/>
      <c r="D50" s="84" t="str">
        <f>$C$62</f>
        <v>Wet basis</v>
      </c>
      <c r="E50" s="84" t="str">
        <f>$C$61</f>
        <v>tonnes</v>
      </c>
      <c r="F50" s="363" t="str">
        <f>IF($C$28="Hybrid option - Applicant data and Predefined transport scenario", IFERROR(C50/SUM($D$67:$D$90),""),"")</f>
        <v/>
      </c>
    </row>
    <row r="51" spans="1:6" x14ac:dyDescent="0.3">
      <c r="B51" s="82" t="s">
        <v>400</v>
      </c>
      <c r="C51" s="94"/>
      <c r="D51" s="84" t="str">
        <f>$C$62</f>
        <v>Wet basis</v>
      </c>
      <c r="E51" s="84" t="str">
        <f>$C$61</f>
        <v>tonnes</v>
      </c>
      <c r="F51" s="363" t="str">
        <f>IF($C$28="Hybrid option - Applicant data and Predefined transport scenario", IFERROR(C51/SUM($D$67:$D$90),""),"")</f>
        <v/>
      </c>
    </row>
    <row r="52" spans="1:6" x14ac:dyDescent="0.3">
      <c r="B52" s="54"/>
      <c r="C52" s="361"/>
      <c r="D52" s="143"/>
      <c r="E52" s="79"/>
    </row>
    <row r="53" spans="1:6" x14ac:dyDescent="0.3">
      <c r="B53" s="76" t="s">
        <v>380</v>
      </c>
      <c r="C53" s="137" t="s">
        <v>401</v>
      </c>
      <c r="D53" s="138" t="s">
        <v>127</v>
      </c>
      <c r="E53" s="21"/>
    </row>
    <row r="54" spans="1:6" x14ac:dyDescent="0.3">
      <c r="B54" s="82" t="s">
        <v>382</v>
      </c>
      <c r="C54" s="362" t="str">
        <f>IF($C$28="Hybrid option - Applicant data and Predefined transport scenario",IFERROR(C32*F48,""),"")</f>
        <v/>
      </c>
      <c r="D54" s="84" t="s">
        <v>402</v>
      </c>
      <c r="E54" s="664" t="s">
        <v>403</v>
      </c>
    </row>
    <row r="55" spans="1:6" ht="21" customHeight="1" x14ac:dyDescent="0.3">
      <c r="B55" s="82" t="s">
        <v>385</v>
      </c>
      <c r="C55" s="362" t="str">
        <f>IF($C$28="Hybrid option - Applicant data and Predefined transport scenario",IFERROR(C33*F49,""),"")</f>
        <v/>
      </c>
      <c r="D55" s="84" t="s">
        <v>402</v>
      </c>
      <c r="E55" s="665"/>
    </row>
    <row r="56" spans="1:6" ht="33.6" customHeight="1" x14ac:dyDescent="0.3">
      <c r="B56" s="82" t="s">
        <v>386</v>
      </c>
      <c r="C56" s="362" t="str">
        <f>IF($C$28="Hybrid option - Applicant data and Predefined transport scenario",IFERROR(C34*F50,""),"")</f>
        <v/>
      </c>
      <c r="D56" s="84" t="s">
        <v>402</v>
      </c>
      <c r="E56" s="666"/>
    </row>
    <row r="57" spans="1:6" x14ac:dyDescent="0.3">
      <c r="B57" s="82" t="s">
        <v>400</v>
      </c>
      <c r="C57" s="362" t="str">
        <f>IF($C$28="Hybrid option - Applicant data and Predefined transport scenario",IFERROR(C43*F51,""),"")</f>
        <v/>
      </c>
      <c r="D57" s="84" t="s">
        <v>69</v>
      </c>
      <c r="E57" s="104"/>
    </row>
    <row r="58" spans="1:6" x14ac:dyDescent="0.3">
      <c r="B58" s="7"/>
      <c r="C58" s="7"/>
      <c r="D58" s="11"/>
    </row>
    <row r="59" spans="1:6" s="6" customFormat="1" x14ac:dyDescent="0.3">
      <c r="A59" s="6" t="s">
        <v>404</v>
      </c>
    </row>
    <row r="60" spans="1:6" s="32" customFormat="1" x14ac:dyDescent="0.3"/>
    <row r="61" spans="1:6" ht="34.5" customHeight="1" x14ac:dyDescent="0.3">
      <c r="B61" s="80" t="s">
        <v>405</v>
      </c>
      <c r="C61" s="52" t="s">
        <v>406</v>
      </c>
      <c r="D61" s="598" t="s">
        <v>407</v>
      </c>
      <c r="E61" s="598"/>
    </row>
    <row r="62" spans="1:6" x14ac:dyDescent="0.3">
      <c r="B62" s="80" t="s">
        <v>408</v>
      </c>
      <c r="C62" s="10" t="s">
        <v>409</v>
      </c>
      <c r="D62" s="22"/>
      <c r="E62"/>
    </row>
    <row r="63" spans="1:6" ht="58.5" customHeight="1" x14ac:dyDescent="0.3">
      <c r="B63" s="80" t="s">
        <v>410</v>
      </c>
      <c r="C63" s="250">
        <f>'Side Calc. - Wheat transport'!C32</f>
        <v>0.14059583319522614</v>
      </c>
      <c r="D63" s="598" t="s">
        <v>411</v>
      </c>
      <c r="E63" s="598"/>
    </row>
    <row r="65" spans="2:7" s="11" customFormat="1" ht="28.8" x14ac:dyDescent="0.3">
      <c r="B65" s="328" t="s">
        <v>412</v>
      </c>
      <c r="C65" s="74" t="s">
        <v>413</v>
      </c>
      <c r="D65" s="74" t="s">
        <v>414</v>
      </c>
      <c r="E65" s="74" t="s">
        <v>415</v>
      </c>
      <c r="F65" s="76" t="s">
        <v>416</v>
      </c>
      <c r="G65" s="85" t="s">
        <v>127</v>
      </c>
    </row>
    <row r="66" spans="2:7" s="11" customFormat="1" x14ac:dyDescent="0.3">
      <c r="B66" s="661" t="s">
        <v>417</v>
      </c>
      <c r="C66" s="662"/>
      <c r="D66" s="662"/>
      <c r="E66" s="663"/>
      <c r="F66" s="86"/>
      <c r="G66" s="87"/>
    </row>
    <row r="67" spans="2:7" x14ac:dyDescent="0.3">
      <c r="B67" s="214" t="s">
        <v>418</v>
      </c>
      <c r="C67" s="215">
        <v>0</v>
      </c>
      <c r="D67" s="215">
        <v>3746.21</v>
      </c>
      <c r="E67" s="215">
        <v>0</v>
      </c>
      <c r="F67" s="216">
        <f>C67+D67-E67</f>
        <v>3746.21</v>
      </c>
      <c r="G67" s="61" t="str">
        <f>IF($C$61="unit","",$C$61)</f>
        <v>tonnes</v>
      </c>
    </row>
    <row r="68" spans="2:7" x14ac:dyDescent="0.3">
      <c r="B68" s="214" t="s">
        <v>419</v>
      </c>
      <c r="C68" s="215">
        <v>0</v>
      </c>
      <c r="D68" s="217">
        <v>3966.5749999999998</v>
      </c>
      <c r="E68" s="215">
        <v>0</v>
      </c>
      <c r="F68" s="218">
        <f t="shared" ref="F68:F90" si="0">C68+D68-E68</f>
        <v>3966.5749999999998</v>
      </c>
      <c r="G68" s="61" t="str">
        <f t="shared" ref="G68:G90" si="1">IF($C$61="unit","",$C$61)</f>
        <v>tonnes</v>
      </c>
    </row>
    <row r="69" spans="2:7" x14ac:dyDescent="0.3">
      <c r="B69" s="214" t="s">
        <v>420</v>
      </c>
      <c r="C69" s="215">
        <v>0</v>
      </c>
      <c r="D69" s="217">
        <v>4275.0870000000004</v>
      </c>
      <c r="E69" s="215">
        <v>0</v>
      </c>
      <c r="F69" s="218">
        <f t="shared" si="0"/>
        <v>4275.0870000000004</v>
      </c>
      <c r="G69" s="61" t="str">
        <f t="shared" si="1"/>
        <v>tonnes</v>
      </c>
    </row>
    <row r="70" spans="2:7" x14ac:dyDescent="0.3">
      <c r="B70" s="214" t="s">
        <v>421</v>
      </c>
      <c r="C70" s="215">
        <v>0</v>
      </c>
      <c r="D70" s="217">
        <v>4363.2330000000002</v>
      </c>
      <c r="E70" s="215">
        <v>0</v>
      </c>
      <c r="F70" s="218">
        <f t="shared" si="0"/>
        <v>4363.2330000000002</v>
      </c>
      <c r="G70" s="61" t="str">
        <f t="shared" si="1"/>
        <v>tonnes</v>
      </c>
    </row>
    <row r="71" spans="2:7" x14ac:dyDescent="0.3">
      <c r="B71" s="214" t="s">
        <v>422</v>
      </c>
      <c r="C71" s="215">
        <v>0</v>
      </c>
      <c r="D71" s="217">
        <v>3834.3560000000002</v>
      </c>
      <c r="E71" s="215">
        <v>0</v>
      </c>
      <c r="F71" s="218">
        <f t="shared" si="0"/>
        <v>3834.3560000000002</v>
      </c>
      <c r="G71" s="61" t="str">
        <f t="shared" si="1"/>
        <v>tonnes</v>
      </c>
    </row>
    <row r="72" spans="2:7" x14ac:dyDescent="0.3">
      <c r="B72" s="214" t="s">
        <v>423</v>
      </c>
      <c r="C72" s="215">
        <v>0</v>
      </c>
      <c r="D72" s="217">
        <v>3790.2829999999999</v>
      </c>
      <c r="E72" s="215">
        <v>0</v>
      </c>
      <c r="F72" s="218">
        <f t="shared" si="0"/>
        <v>3790.2829999999999</v>
      </c>
      <c r="G72" s="61" t="str">
        <f t="shared" si="1"/>
        <v>tonnes</v>
      </c>
    </row>
    <row r="73" spans="2:7" x14ac:dyDescent="0.3">
      <c r="B73" s="214" t="s">
        <v>424</v>
      </c>
      <c r="C73" s="215">
        <v>0</v>
      </c>
      <c r="D73" s="217">
        <v>4098.7950000000001</v>
      </c>
      <c r="E73" s="215">
        <v>0</v>
      </c>
      <c r="F73" s="218">
        <f t="shared" si="0"/>
        <v>4098.7950000000001</v>
      </c>
      <c r="G73" s="61" t="str">
        <f t="shared" si="1"/>
        <v>tonnes</v>
      </c>
    </row>
    <row r="74" spans="2:7" x14ac:dyDescent="0.3">
      <c r="B74" s="214" t="s">
        <v>425</v>
      </c>
      <c r="C74" s="215">
        <v>0</v>
      </c>
      <c r="D74" s="217">
        <v>4186.9409999999998</v>
      </c>
      <c r="E74" s="215">
        <v>0</v>
      </c>
      <c r="F74" s="218">
        <f t="shared" si="0"/>
        <v>4186.9409999999998</v>
      </c>
      <c r="G74" s="61" t="str">
        <f t="shared" si="1"/>
        <v>tonnes</v>
      </c>
    </row>
    <row r="75" spans="2:7" x14ac:dyDescent="0.3">
      <c r="B75" s="214" t="s">
        <v>426</v>
      </c>
      <c r="C75" s="215">
        <v>0</v>
      </c>
      <c r="D75" s="217">
        <v>4010.6480000000001</v>
      </c>
      <c r="E75" s="215">
        <v>0</v>
      </c>
      <c r="F75" s="218">
        <f t="shared" si="0"/>
        <v>4010.6480000000001</v>
      </c>
      <c r="G75" s="61" t="str">
        <f t="shared" si="1"/>
        <v>tonnes</v>
      </c>
    </row>
    <row r="76" spans="2:7" x14ac:dyDescent="0.3">
      <c r="B76" s="214" t="s">
        <v>427</v>
      </c>
      <c r="C76" s="215">
        <v>0</v>
      </c>
      <c r="D76" s="217">
        <v>3922.502</v>
      </c>
      <c r="E76" s="215">
        <v>0</v>
      </c>
      <c r="F76" s="218">
        <f t="shared" si="0"/>
        <v>3922.502</v>
      </c>
      <c r="G76" s="61" t="str">
        <f t="shared" si="1"/>
        <v>tonnes</v>
      </c>
    </row>
    <row r="77" spans="2:7" x14ac:dyDescent="0.3">
      <c r="B77" s="214" t="s">
        <v>428</v>
      </c>
      <c r="C77" s="215">
        <v>0</v>
      </c>
      <c r="D77" s="217">
        <v>4319.16</v>
      </c>
      <c r="E77" s="215">
        <v>0</v>
      </c>
      <c r="F77" s="218">
        <f t="shared" si="0"/>
        <v>4319.16</v>
      </c>
      <c r="G77" s="61" t="str">
        <f t="shared" si="1"/>
        <v>tonnes</v>
      </c>
    </row>
    <row r="78" spans="2:7" x14ac:dyDescent="0.3">
      <c r="B78" s="214" t="s">
        <v>429</v>
      </c>
      <c r="C78" s="215">
        <v>0</v>
      </c>
      <c r="D78" s="217">
        <v>4054.721</v>
      </c>
      <c r="E78" s="215">
        <v>0</v>
      </c>
      <c r="F78" s="218">
        <f t="shared" si="0"/>
        <v>4054.721</v>
      </c>
      <c r="G78" s="61" t="str">
        <f t="shared" si="1"/>
        <v>tonnes</v>
      </c>
    </row>
    <row r="79" spans="2:7" x14ac:dyDescent="0.3">
      <c r="B79" s="214" t="s">
        <v>430</v>
      </c>
      <c r="C79" s="215">
        <v>0</v>
      </c>
      <c r="D79" s="217">
        <v>5068.402</v>
      </c>
      <c r="E79" s="215">
        <v>0</v>
      </c>
      <c r="F79" s="218">
        <f t="shared" si="0"/>
        <v>5068.402</v>
      </c>
      <c r="G79" s="61" t="str">
        <f t="shared" si="1"/>
        <v>tonnes</v>
      </c>
    </row>
    <row r="80" spans="2:7" x14ac:dyDescent="0.3">
      <c r="B80" s="214" t="s">
        <v>431</v>
      </c>
      <c r="C80" s="215">
        <v>0</v>
      </c>
      <c r="D80" s="217">
        <v>4848.0370000000003</v>
      </c>
      <c r="E80" s="215">
        <v>0</v>
      </c>
      <c r="F80" s="218">
        <f t="shared" si="0"/>
        <v>4848.0370000000003</v>
      </c>
      <c r="G80" s="61" t="str">
        <f t="shared" si="1"/>
        <v>tonnes</v>
      </c>
    </row>
    <row r="81" spans="1:7" x14ac:dyDescent="0.3">
      <c r="B81" s="214" t="s">
        <v>432</v>
      </c>
      <c r="C81" s="215">
        <v>0</v>
      </c>
      <c r="D81" s="217">
        <v>4539.5249999999996</v>
      </c>
      <c r="E81" s="215">
        <v>0</v>
      </c>
      <c r="F81" s="218">
        <f t="shared" si="0"/>
        <v>4539.5249999999996</v>
      </c>
      <c r="G81" s="61" t="str">
        <f t="shared" si="1"/>
        <v>tonnes</v>
      </c>
    </row>
    <row r="82" spans="1:7" x14ac:dyDescent="0.3">
      <c r="B82" s="214" t="s">
        <v>433</v>
      </c>
      <c r="C82" s="215">
        <v>0</v>
      </c>
      <c r="D82" s="217">
        <v>4451.3789999999999</v>
      </c>
      <c r="E82" s="215">
        <v>0</v>
      </c>
      <c r="F82" s="218">
        <f t="shared" si="0"/>
        <v>4451.3789999999999</v>
      </c>
      <c r="G82" s="61" t="str">
        <f t="shared" si="1"/>
        <v>tonnes</v>
      </c>
    </row>
    <row r="83" spans="1:7" x14ac:dyDescent="0.3">
      <c r="B83" s="214" t="s">
        <v>434</v>
      </c>
      <c r="C83" s="215">
        <v>0</v>
      </c>
      <c r="D83" s="217">
        <v>4980.2560000000003</v>
      </c>
      <c r="E83" s="215">
        <v>0</v>
      </c>
      <c r="F83" s="218">
        <f t="shared" si="0"/>
        <v>4980.2560000000003</v>
      </c>
      <c r="G83" s="61" t="str">
        <f t="shared" si="1"/>
        <v>tonnes</v>
      </c>
    </row>
    <row r="84" spans="1:7" x14ac:dyDescent="0.3">
      <c r="B84" s="214" t="s">
        <v>435</v>
      </c>
      <c r="C84" s="215">
        <v>0</v>
      </c>
      <c r="D84" s="217">
        <v>5024.3289999999997</v>
      </c>
      <c r="E84" s="215">
        <v>0</v>
      </c>
      <c r="F84" s="218">
        <f t="shared" si="0"/>
        <v>5024.3289999999997</v>
      </c>
      <c r="G84" s="61" t="str">
        <f t="shared" si="1"/>
        <v>tonnes</v>
      </c>
    </row>
    <row r="85" spans="1:7" x14ac:dyDescent="0.3">
      <c r="B85" s="214" t="s">
        <v>436</v>
      </c>
      <c r="C85" s="215">
        <v>0</v>
      </c>
      <c r="D85" s="217">
        <v>4715.817</v>
      </c>
      <c r="E85" s="215">
        <v>0</v>
      </c>
      <c r="F85" s="218">
        <f t="shared" si="0"/>
        <v>4715.817</v>
      </c>
      <c r="G85" s="61" t="str">
        <f t="shared" si="1"/>
        <v>tonnes</v>
      </c>
    </row>
    <row r="86" spans="1:7" x14ac:dyDescent="0.3">
      <c r="B86" s="214" t="s">
        <v>437</v>
      </c>
      <c r="C86" s="215">
        <v>0</v>
      </c>
      <c r="D86" s="217">
        <v>4627.6710000000003</v>
      </c>
      <c r="E86" s="215">
        <v>0</v>
      </c>
      <c r="F86" s="218">
        <f t="shared" si="0"/>
        <v>4627.6710000000003</v>
      </c>
      <c r="G86" s="61" t="str">
        <f t="shared" si="1"/>
        <v>tonnes</v>
      </c>
    </row>
    <row r="87" spans="1:7" x14ac:dyDescent="0.3">
      <c r="B87" s="214" t="s">
        <v>438</v>
      </c>
      <c r="C87" s="215">
        <v>0</v>
      </c>
      <c r="D87" s="217">
        <v>4803.9629999999997</v>
      </c>
      <c r="E87" s="215">
        <v>0</v>
      </c>
      <c r="F87" s="218">
        <f t="shared" si="0"/>
        <v>4803.9629999999997</v>
      </c>
      <c r="G87" s="61" t="str">
        <f t="shared" si="1"/>
        <v>tonnes</v>
      </c>
    </row>
    <row r="88" spans="1:7" x14ac:dyDescent="0.3">
      <c r="B88" s="214" t="s">
        <v>439</v>
      </c>
      <c r="C88" s="215">
        <v>0</v>
      </c>
      <c r="D88" s="217">
        <v>4892.1099999999997</v>
      </c>
      <c r="E88" s="215">
        <v>0</v>
      </c>
      <c r="F88" s="218">
        <f t="shared" si="0"/>
        <v>4892.1099999999997</v>
      </c>
      <c r="G88" s="61" t="str">
        <f t="shared" si="1"/>
        <v>tonnes</v>
      </c>
    </row>
    <row r="89" spans="1:7" x14ac:dyDescent="0.3">
      <c r="B89" s="214" t="s">
        <v>440</v>
      </c>
      <c r="C89" s="215">
        <v>0</v>
      </c>
      <c r="D89" s="217">
        <v>4495.4520000000002</v>
      </c>
      <c r="E89" s="215">
        <v>0</v>
      </c>
      <c r="F89" s="218">
        <f t="shared" si="0"/>
        <v>4495.4520000000002</v>
      </c>
      <c r="G89" s="61" t="str">
        <f t="shared" si="1"/>
        <v>tonnes</v>
      </c>
    </row>
    <row r="90" spans="1:7" x14ac:dyDescent="0.3">
      <c r="B90" s="214" t="s">
        <v>441</v>
      </c>
      <c r="C90" s="215">
        <v>0</v>
      </c>
      <c r="D90" s="217">
        <v>4759.8900000000003</v>
      </c>
      <c r="E90" s="215">
        <v>0</v>
      </c>
      <c r="F90" s="218">
        <f t="shared" si="0"/>
        <v>4759.8900000000003</v>
      </c>
      <c r="G90" s="61" t="str">
        <f t="shared" si="1"/>
        <v>tonnes</v>
      </c>
    </row>
    <row r="91" spans="1:7" x14ac:dyDescent="0.3">
      <c r="B91" s="14" t="s">
        <v>442</v>
      </c>
      <c r="F91" s="243">
        <f>SUM(F67:F90)</f>
        <v>105775.34199999999</v>
      </c>
      <c r="G91" s="202" t="str">
        <f>IF($C$61="unit","",$C$61)</f>
        <v>tonnes</v>
      </c>
    </row>
    <row r="92" spans="1:7" s="15" customFormat="1" x14ac:dyDescent="0.3">
      <c r="D92" s="21"/>
    </row>
    <row r="93" spans="1:7" s="15" customFormat="1" x14ac:dyDescent="0.3">
      <c r="B93" s="16"/>
      <c r="D93" s="21"/>
    </row>
    <row r="94" spans="1:7" s="6" customFormat="1" x14ac:dyDescent="0.3">
      <c r="A94" s="6" t="s">
        <v>443</v>
      </c>
      <c r="D94" s="20"/>
    </row>
    <row r="95" spans="1:7" s="15" customFormat="1" x14ac:dyDescent="0.3">
      <c r="B95" s="54"/>
      <c r="D95" s="21"/>
    </row>
    <row r="96" spans="1:7" ht="28.8" x14ac:dyDescent="0.3">
      <c r="B96" s="80" t="s">
        <v>444</v>
      </c>
      <c r="C96" s="10" t="s">
        <v>445</v>
      </c>
      <c r="D96" s="5"/>
      <c r="E96" s="28"/>
    </row>
    <row r="97" spans="1:6" ht="28.8" x14ac:dyDescent="0.3">
      <c r="B97" s="80" t="s">
        <v>446</v>
      </c>
      <c r="C97" s="10" t="s">
        <v>447</v>
      </c>
      <c r="D97" s="83" t="s">
        <v>448</v>
      </c>
      <c r="E97" s="28"/>
    </row>
    <row r="98" spans="1:6" ht="43.5" customHeight="1" x14ac:dyDescent="0.3">
      <c r="B98" s="80" t="s">
        <v>449</v>
      </c>
      <c r="C98" s="107">
        <f>1-$C$63</f>
        <v>0.85940416680477383</v>
      </c>
      <c r="D98" s="116" t="s">
        <v>450</v>
      </c>
      <c r="E98" s="598" t="s">
        <v>451</v>
      </c>
      <c r="F98" s="598"/>
    </row>
    <row r="99" spans="1:6" ht="43.5" customHeight="1" x14ac:dyDescent="0.3">
      <c r="B99" s="80" t="str">
        <f>CONCATENATE("Conversion factor from ", C61, " to ", C96)</f>
        <v>Conversion factor from tonnes to Mass unit</v>
      </c>
      <c r="C99" s="140">
        <f>'ECCC Parameters'!D7</f>
        <v>1</v>
      </c>
      <c r="D99" s="117" t="str">
        <f>CONCATENATE(C97," /", C61)</f>
        <v>t /tonnes</v>
      </c>
      <c r="E99" s="598" t="s">
        <v>452</v>
      </c>
      <c r="F99" s="598"/>
    </row>
    <row r="101" spans="1:6" s="6" customFormat="1" x14ac:dyDescent="0.3">
      <c r="A101" s="6" t="s">
        <v>453</v>
      </c>
      <c r="D101" s="20"/>
    </row>
    <row r="102" spans="1:6" x14ac:dyDescent="0.3">
      <c r="D102" s="5"/>
    </row>
    <row r="103" spans="1:6" x14ac:dyDescent="0.3">
      <c r="B103" s="7" t="s">
        <v>364</v>
      </c>
      <c r="C103" s="135" t="s">
        <v>442</v>
      </c>
      <c r="D103" s="50" t="s">
        <v>454</v>
      </c>
    </row>
    <row r="104" spans="1:6" x14ac:dyDescent="0.3">
      <c r="B104" s="88" t="str">
        <f>IF(C13="Select feedstock type ()","",C13)</f>
        <v>Wheat (non-durum) (Global)</v>
      </c>
      <c r="C104" s="582">
        <f>IF(C62="Dry basis",F91*C99,F91*C99*C98)</f>
        <v>90903.769659999991</v>
      </c>
      <c r="D104" s="276" t="str">
        <f>C97</f>
        <v>t</v>
      </c>
      <c r="E104" s="118" t="s">
        <v>455</v>
      </c>
    </row>
    <row r="107" spans="1:6" x14ac:dyDescent="0.3">
      <c r="B107" s="274" t="s">
        <v>456</v>
      </c>
    </row>
  </sheetData>
  <mergeCells count="8">
    <mergeCell ref="E98:F98"/>
    <mergeCell ref="E99:F99"/>
    <mergeCell ref="E32:E34"/>
    <mergeCell ref="E38:E40"/>
    <mergeCell ref="E54:E56"/>
    <mergeCell ref="D61:E61"/>
    <mergeCell ref="D63:E63"/>
    <mergeCell ref="B66:E66"/>
  </mergeCells>
  <hyperlinks>
    <hyperlink ref="B107" location="Allocation!A1" display="Allocation!A1" xr:uid="{D9FE4DD4-EFE7-403F-9D63-3626120916E0}"/>
  </hyperlinks>
  <pageMargins left="0.7" right="0.7" top="0.75" bottom="0.75" header="0.3" footer="0.3"/>
  <pageSetup orientation="portrait" r:id="rId1"/>
  <ignoredErrors>
    <ignoredError sqref="C104" evalError="1"/>
  </ignoredErrors>
  <drawing r:id="rId2"/>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3AC229A4-AEA8-43E5-8815-F1E7DB2F6869}">
          <x14:formula1>
            <xm:f>Lists!$J$5:$J$27</xm:f>
          </x14:formula1>
          <xm:sqref>C10</xm:sqref>
        </x14:dataValidation>
        <x14:dataValidation type="list" allowBlank="1" showInputMessage="1" showErrorMessage="1" xr:uid="{0B46BAEF-7BBD-459F-BF90-DD59F2E5DE80}">
          <x14:formula1>
            <xm:f>Lists!$Z$4:$AA$4</xm:f>
          </x14:formula1>
          <xm:sqref>C96</xm:sqref>
        </x14:dataValidation>
        <x14:dataValidation type="list" allowBlank="1" showInputMessage="1" showErrorMessage="1" xr:uid="{1F8A6FE8-0865-4E61-81F3-E3A802F59F54}">
          <x14:formula1>
            <xm:f>Lists!$B$5:$B$8</xm:f>
          </x14:formula1>
          <xm:sqref>C28</xm:sqref>
        </x14:dataValidation>
        <x14:dataValidation type="list" allowBlank="1" showInputMessage="1" showErrorMessage="1" xr:uid="{C56A2999-CDB1-4036-9160-B52952610B9C}">
          <x14:formula1>
            <xm:f>Lists!$H$5:$H$7</xm:f>
          </x14:formula1>
          <xm:sqref>C42</xm:sqref>
        </x14:dataValidation>
        <x14:dataValidation type="list" allowBlank="1" showInputMessage="1" showErrorMessage="1" xr:uid="{890CE2FC-D066-4DEC-A52E-E34BF52544E1}">
          <x14:formula1>
            <xm:f>Lists!$I$5:$I$7</xm:f>
          </x14:formula1>
          <xm:sqref>C62</xm:sqref>
        </x14:dataValidation>
        <x14:dataValidation type="list" allowBlank="1" showInputMessage="1" showErrorMessage="1" xr:uid="{19D7072D-5EC9-4DCC-8E7B-7FE77F63D7F6}">
          <x14:formula1>
            <xm:f>OFFSET(Lists!$Z$4,1,MATCH($C96,Lists!$Z$4:$AA$4,0)-1,26,1)</xm:f>
          </x14:formula1>
          <xm:sqref>C97</xm:sqref>
        </x14:dataValidation>
        <x14:dataValidation type="list" allowBlank="1" showInputMessage="1" showErrorMessage="1" xr:uid="{E9CE74D3-F30B-4A1E-A03C-F98AFF6F4FC7}">
          <x14:formula1>
            <xm:f>Lists!$E$5:$E$8</xm:f>
          </x14:formula1>
          <xm:sqref>C14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N68"/>
  <sheetViews>
    <sheetView showGridLines="0" topLeftCell="A19" zoomScale="85" zoomScaleNormal="85" workbookViewId="0">
      <selection activeCell="D49" sqref="D49"/>
    </sheetView>
  </sheetViews>
  <sheetFormatPr defaultColWidth="11.44140625" defaultRowHeight="14.4" x14ac:dyDescent="0.3"/>
  <cols>
    <col min="1" max="1" width="6.44140625" style="5" customWidth="1"/>
    <col min="2" max="2" width="40.109375" style="5" customWidth="1"/>
    <col min="3" max="3" width="25.109375" style="5" bestFit="1" customWidth="1"/>
    <col min="4" max="4" width="51.6640625" style="21" bestFit="1" customWidth="1"/>
    <col min="5" max="5" width="54.88671875" style="5" bestFit="1" customWidth="1"/>
    <col min="6" max="6" width="36" style="5" customWidth="1"/>
    <col min="7" max="7" width="37.6640625" style="5" customWidth="1"/>
    <col min="8" max="8" width="12.88671875" style="5" customWidth="1"/>
    <col min="9" max="9" width="12.109375" style="5" customWidth="1"/>
    <col min="10" max="10" width="34.33203125" style="5" customWidth="1"/>
    <col min="11" max="11" width="14" style="5" customWidth="1"/>
    <col min="12" max="12" width="22.88671875" style="5" customWidth="1"/>
    <col min="13" max="13" width="14.5546875" style="5" customWidth="1"/>
    <col min="14" max="14" width="38.6640625" style="5" customWidth="1"/>
    <col min="15" max="16384" width="11.44140625" style="5"/>
  </cols>
  <sheetData>
    <row r="1" spans="1:14" x14ac:dyDescent="0.3">
      <c r="A1" s="347"/>
    </row>
    <row r="2" spans="1:14" x14ac:dyDescent="0.3">
      <c r="A2" s="96" t="s">
        <v>458</v>
      </c>
      <c r="D2" s="11"/>
    </row>
    <row r="3" spans="1:14" x14ac:dyDescent="0.3">
      <c r="A3" s="66" t="s">
        <v>459</v>
      </c>
      <c r="D3" s="11"/>
    </row>
    <row r="4" spans="1:14" x14ac:dyDescent="0.3">
      <c r="A4" s="66" t="s">
        <v>460</v>
      </c>
      <c r="D4" s="11"/>
    </row>
    <row r="5" spans="1:14" x14ac:dyDescent="0.3">
      <c r="A5" s="66" t="s">
        <v>461</v>
      </c>
      <c r="D5" s="11"/>
    </row>
    <row r="6" spans="1:14" x14ac:dyDescent="0.3">
      <c r="B6" s="64"/>
      <c r="D6" s="11"/>
    </row>
    <row r="7" spans="1:14" s="6" customFormat="1" x14ac:dyDescent="0.3">
      <c r="A7" s="6" t="s">
        <v>356</v>
      </c>
    </row>
    <row r="8" spans="1:14" s="32" customFormat="1" x14ac:dyDescent="0.3"/>
    <row r="9" spans="1:14" s="32" customFormat="1" x14ac:dyDescent="0.3">
      <c r="A9" s="65" t="s">
        <v>462</v>
      </c>
    </row>
    <row r="10" spans="1:14" x14ac:dyDescent="0.3">
      <c r="B10" s="80" t="s">
        <v>51</v>
      </c>
      <c r="C10" s="24" t="s">
        <v>36</v>
      </c>
      <c r="D10" s="28"/>
    </row>
    <row r="11" spans="1:14" x14ac:dyDescent="0.3">
      <c r="B11" s="80" t="s">
        <v>463</v>
      </c>
      <c r="C11" s="114" t="str">
        <f>IF(C10="New fuel", C15, IF(C10="Select fuel type","",C10))</f>
        <v>Bioethanol</v>
      </c>
      <c r="D11" s="118" t="s">
        <v>464</v>
      </c>
      <c r="F11" s="21"/>
      <c r="N11" s="19"/>
    </row>
    <row r="12" spans="1:14" customFormat="1" x14ac:dyDescent="0.3">
      <c r="B12" s="49" t="s">
        <v>27</v>
      </c>
      <c r="C12" s="48"/>
    </row>
    <row r="13" spans="1:14" x14ac:dyDescent="0.3">
      <c r="D13" s="23"/>
      <c r="F13" s="21"/>
      <c r="N13" s="19"/>
    </row>
    <row r="14" spans="1:14" x14ac:dyDescent="0.3">
      <c r="B14" s="25" t="s">
        <v>465</v>
      </c>
      <c r="D14" s="5"/>
    </row>
    <row r="15" spans="1:14" x14ac:dyDescent="0.3">
      <c r="B15" s="80" t="s">
        <v>466</v>
      </c>
      <c r="C15" s="24"/>
      <c r="D15" s="5"/>
    </row>
    <row r="16" spans="1:14" ht="28.8" x14ac:dyDescent="0.3">
      <c r="B16" s="320" t="s">
        <v>467</v>
      </c>
      <c r="C16" s="24"/>
      <c r="D16" s="5"/>
    </row>
    <row r="17" spans="1:14" x14ac:dyDescent="0.3">
      <c r="D17" s="23"/>
      <c r="F17" s="21"/>
      <c r="N17" s="19"/>
    </row>
    <row r="18" spans="1:14" s="32" customFormat="1" x14ac:dyDescent="0.3">
      <c r="A18" s="65" t="s">
        <v>468</v>
      </c>
    </row>
    <row r="19" spans="1:14" ht="48.75" customHeight="1" x14ac:dyDescent="0.3">
      <c r="B19" s="80" t="s">
        <v>469</v>
      </c>
      <c r="C19" s="523">
        <f>'ECCC Parameters'!B65</f>
        <v>29.67</v>
      </c>
      <c r="D19" s="84" t="s">
        <v>470</v>
      </c>
      <c r="E19" s="598" t="s">
        <v>471</v>
      </c>
      <c r="F19" s="598"/>
    </row>
    <row r="20" spans="1:14" ht="50.25" customHeight="1" x14ac:dyDescent="0.3">
      <c r="B20" s="80" t="s">
        <v>472</v>
      </c>
      <c r="C20" s="523">
        <f>'ECCC Parameters'!F65</f>
        <v>789.3</v>
      </c>
      <c r="D20" s="84" t="s">
        <v>302</v>
      </c>
      <c r="E20" s="598" t="s">
        <v>473</v>
      </c>
      <c r="F20" s="598"/>
    </row>
    <row r="21" spans="1:14" ht="32.25" customHeight="1" x14ac:dyDescent="0.3">
      <c r="B21" s="80" t="s">
        <v>474</v>
      </c>
      <c r="C21" s="213"/>
      <c r="D21" s="139" t="s">
        <v>475</v>
      </c>
    </row>
    <row r="22" spans="1:14" x14ac:dyDescent="0.3">
      <c r="D22" s="5"/>
    </row>
    <row r="23" spans="1:14" s="6" customFormat="1" x14ac:dyDescent="0.3">
      <c r="A23" s="6" t="s">
        <v>476</v>
      </c>
    </row>
    <row r="25" spans="1:14" ht="28.8" x14ac:dyDescent="0.3">
      <c r="B25" s="73" t="s">
        <v>477</v>
      </c>
      <c r="C25" s="24" t="s">
        <v>83</v>
      </c>
      <c r="D25" s="104" t="s">
        <v>478</v>
      </c>
      <c r="E25" s="79"/>
    </row>
    <row r="26" spans="1:14" x14ac:dyDescent="0.3">
      <c r="D26" s="5"/>
    </row>
    <row r="27" spans="1:14" ht="28.8" x14ac:dyDescent="0.3">
      <c r="B27" s="76" t="s">
        <v>412</v>
      </c>
      <c r="C27" s="76" t="s">
        <v>479</v>
      </c>
      <c r="D27" s="76" t="s">
        <v>480</v>
      </c>
      <c r="E27" s="76" t="s">
        <v>481</v>
      </c>
      <c r="F27" s="76" t="s">
        <v>482</v>
      </c>
      <c r="G27" s="76" t="s">
        <v>483</v>
      </c>
      <c r="H27" s="85" t="s">
        <v>127</v>
      </c>
      <c r="I27" s="60"/>
    </row>
    <row r="28" spans="1:14" x14ac:dyDescent="0.3">
      <c r="B28" s="661" t="s">
        <v>417</v>
      </c>
      <c r="C28" s="668"/>
      <c r="D28" s="668"/>
      <c r="E28" s="668"/>
      <c r="F28" s="669"/>
      <c r="G28" s="86"/>
      <c r="H28" s="85"/>
      <c r="I28" s="60"/>
    </row>
    <row r="29" spans="1:14" x14ac:dyDescent="0.3">
      <c r="B29" s="219" t="s">
        <v>418</v>
      </c>
      <c r="C29" s="215">
        <v>0</v>
      </c>
      <c r="D29" s="502">
        <v>8854195</v>
      </c>
      <c r="E29" s="215">
        <v>0</v>
      </c>
      <c r="F29" s="215">
        <v>0</v>
      </c>
      <c r="G29" s="503">
        <f>E29-C29+D29-F29</f>
        <v>8854195</v>
      </c>
      <c r="H29" s="119" t="str">
        <f>IF($C$25="Unit","",$C$25)</f>
        <v>L</v>
      </c>
      <c r="I29" s="108"/>
    </row>
    <row r="30" spans="1:14" x14ac:dyDescent="0.3">
      <c r="B30" s="214" t="s">
        <v>419</v>
      </c>
      <c r="C30" s="215">
        <v>0</v>
      </c>
      <c r="D30" s="502">
        <v>9375030</v>
      </c>
      <c r="E30" s="215">
        <v>0</v>
      </c>
      <c r="F30" s="215">
        <v>0</v>
      </c>
      <c r="G30" s="503">
        <f t="shared" ref="G30:G52" si="0">E30-C30+D30-F30</f>
        <v>9375030</v>
      </c>
      <c r="H30" s="119" t="str">
        <f t="shared" ref="H30:H53" si="1">IF($C$25="Unit","",$C$25)</f>
        <v>L</v>
      </c>
      <c r="I30" s="108"/>
    </row>
    <row r="31" spans="1:14" x14ac:dyDescent="0.3">
      <c r="B31" s="214" t="s">
        <v>420</v>
      </c>
      <c r="C31" s="215">
        <v>0</v>
      </c>
      <c r="D31" s="502">
        <v>10104199</v>
      </c>
      <c r="E31" s="215">
        <v>0</v>
      </c>
      <c r="F31" s="215">
        <v>0</v>
      </c>
      <c r="G31" s="503">
        <f t="shared" si="0"/>
        <v>10104199</v>
      </c>
      <c r="H31" s="119" t="str">
        <f t="shared" si="1"/>
        <v>L</v>
      </c>
      <c r="I31" s="108"/>
    </row>
    <row r="32" spans="1:14" x14ac:dyDescent="0.3">
      <c r="B32" s="214" t="s">
        <v>421</v>
      </c>
      <c r="C32" s="215">
        <v>0</v>
      </c>
      <c r="D32" s="502">
        <v>10312533</v>
      </c>
      <c r="E32" s="215">
        <v>0</v>
      </c>
      <c r="F32" s="215">
        <v>0</v>
      </c>
      <c r="G32" s="503">
        <f t="shared" si="0"/>
        <v>10312533</v>
      </c>
      <c r="H32" s="119" t="str">
        <f t="shared" si="1"/>
        <v>L</v>
      </c>
      <c r="I32" s="108"/>
    </row>
    <row r="33" spans="2:9" x14ac:dyDescent="0.3">
      <c r="B33" s="214" t="s">
        <v>422</v>
      </c>
      <c r="C33" s="215">
        <v>0</v>
      </c>
      <c r="D33" s="502">
        <v>9062529</v>
      </c>
      <c r="E33" s="215">
        <v>0</v>
      </c>
      <c r="F33" s="215">
        <v>0</v>
      </c>
      <c r="G33" s="503">
        <f t="shared" si="0"/>
        <v>9062529</v>
      </c>
      <c r="H33" s="119" t="str">
        <f t="shared" si="1"/>
        <v>L</v>
      </c>
      <c r="I33" s="108"/>
    </row>
    <row r="34" spans="2:9" x14ac:dyDescent="0.3">
      <c r="B34" s="214" t="s">
        <v>423</v>
      </c>
      <c r="C34" s="215">
        <v>0</v>
      </c>
      <c r="D34" s="502">
        <v>8958362</v>
      </c>
      <c r="E34" s="215">
        <v>0</v>
      </c>
      <c r="F34" s="215">
        <v>0</v>
      </c>
      <c r="G34" s="503">
        <f t="shared" si="0"/>
        <v>8958362</v>
      </c>
      <c r="H34" s="119" t="str">
        <f t="shared" si="1"/>
        <v>L</v>
      </c>
      <c r="I34" s="108"/>
    </row>
    <row r="35" spans="2:9" x14ac:dyDescent="0.3">
      <c r="B35" s="214" t="s">
        <v>424</v>
      </c>
      <c r="C35" s="215">
        <v>0</v>
      </c>
      <c r="D35" s="502">
        <v>9687531</v>
      </c>
      <c r="E35" s="215">
        <v>0</v>
      </c>
      <c r="F35" s="215">
        <v>0</v>
      </c>
      <c r="G35" s="503">
        <f t="shared" si="0"/>
        <v>9687531</v>
      </c>
      <c r="H35" s="119" t="str">
        <f t="shared" si="1"/>
        <v>L</v>
      </c>
      <c r="I35" s="108"/>
    </row>
    <row r="36" spans="2:9" x14ac:dyDescent="0.3">
      <c r="B36" s="214" t="s">
        <v>425</v>
      </c>
      <c r="C36" s="215">
        <v>0</v>
      </c>
      <c r="D36" s="502">
        <v>9895865</v>
      </c>
      <c r="E36" s="215">
        <v>0</v>
      </c>
      <c r="F36" s="215">
        <v>0</v>
      </c>
      <c r="G36" s="503">
        <f t="shared" si="0"/>
        <v>9895865</v>
      </c>
      <c r="H36" s="119" t="str">
        <f t="shared" si="1"/>
        <v>L</v>
      </c>
      <c r="I36" s="108"/>
    </row>
    <row r="37" spans="2:9" x14ac:dyDescent="0.3">
      <c r="B37" s="214" t="s">
        <v>426</v>
      </c>
      <c r="C37" s="215">
        <v>0</v>
      </c>
      <c r="D37" s="502">
        <v>9479197</v>
      </c>
      <c r="E37" s="215">
        <v>0</v>
      </c>
      <c r="F37" s="215">
        <v>0</v>
      </c>
      <c r="G37" s="503">
        <f t="shared" si="0"/>
        <v>9479197</v>
      </c>
      <c r="H37" s="119" t="str">
        <f t="shared" si="1"/>
        <v>L</v>
      </c>
      <c r="I37" s="108"/>
    </row>
    <row r="38" spans="2:9" x14ac:dyDescent="0.3">
      <c r="B38" s="214" t="s">
        <v>427</v>
      </c>
      <c r="C38" s="215">
        <v>0</v>
      </c>
      <c r="D38" s="502">
        <v>9270863</v>
      </c>
      <c r="E38" s="215">
        <v>0</v>
      </c>
      <c r="F38" s="215">
        <v>0</v>
      </c>
      <c r="G38" s="503">
        <f t="shared" si="0"/>
        <v>9270863</v>
      </c>
      <c r="H38" s="119" t="str">
        <f t="shared" si="1"/>
        <v>L</v>
      </c>
      <c r="I38" s="108"/>
    </row>
    <row r="39" spans="2:9" x14ac:dyDescent="0.3">
      <c r="B39" s="214" t="s">
        <v>428</v>
      </c>
      <c r="C39" s="215">
        <v>0</v>
      </c>
      <c r="D39" s="502">
        <v>10208366</v>
      </c>
      <c r="E39" s="215">
        <v>0</v>
      </c>
      <c r="F39" s="215">
        <v>0</v>
      </c>
      <c r="G39" s="503">
        <f t="shared" si="0"/>
        <v>10208366</v>
      </c>
      <c r="H39" s="119" t="str">
        <f t="shared" si="1"/>
        <v>L</v>
      </c>
      <c r="I39" s="108"/>
    </row>
    <row r="40" spans="2:9" x14ac:dyDescent="0.3">
      <c r="B40" s="214" t="s">
        <v>429</v>
      </c>
      <c r="C40" s="215">
        <v>0</v>
      </c>
      <c r="D40" s="502">
        <v>9583364</v>
      </c>
      <c r="E40" s="215">
        <v>0</v>
      </c>
      <c r="F40" s="215">
        <v>0</v>
      </c>
      <c r="G40" s="503">
        <f t="shared" si="0"/>
        <v>9583364</v>
      </c>
      <c r="H40" s="119" t="str">
        <f t="shared" si="1"/>
        <v>L</v>
      </c>
      <c r="I40" s="108"/>
    </row>
    <row r="41" spans="2:9" x14ac:dyDescent="0.3">
      <c r="B41" s="214" t="s">
        <v>430</v>
      </c>
      <c r="C41" s="215">
        <v>0</v>
      </c>
      <c r="D41" s="502">
        <v>11979205</v>
      </c>
      <c r="E41" s="215">
        <v>0</v>
      </c>
      <c r="F41" s="215">
        <v>0</v>
      </c>
      <c r="G41" s="503">
        <f t="shared" si="0"/>
        <v>11979205</v>
      </c>
      <c r="H41" s="119" t="str">
        <f t="shared" si="1"/>
        <v>L</v>
      </c>
      <c r="I41" s="108"/>
    </row>
    <row r="42" spans="2:9" x14ac:dyDescent="0.3">
      <c r="B42" s="214" t="s">
        <v>431</v>
      </c>
      <c r="C42" s="215">
        <v>0</v>
      </c>
      <c r="D42" s="502">
        <v>11458370</v>
      </c>
      <c r="E42" s="215">
        <v>0</v>
      </c>
      <c r="F42" s="215">
        <v>0</v>
      </c>
      <c r="G42" s="503">
        <f t="shared" si="0"/>
        <v>11458370</v>
      </c>
      <c r="H42" s="119" t="str">
        <f t="shared" si="1"/>
        <v>L</v>
      </c>
      <c r="I42" s="108"/>
    </row>
    <row r="43" spans="2:9" x14ac:dyDescent="0.3">
      <c r="B43" s="214" t="s">
        <v>432</v>
      </c>
      <c r="C43" s="215">
        <v>0</v>
      </c>
      <c r="D43" s="502">
        <v>10729201</v>
      </c>
      <c r="E43" s="215">
        <v>0</v>
      </c>
      <c r="F43" s="215">
        <v>0</v>
      </c>
      <c r="G43" s="503">
        <f t="shared" si="0"/>
        <v>10729201</v>
      </c>
      <c r="H43" s="119" t="str">
        <f t="shared" si="1"/>
        <v>L</v>
      </c>
      <c r="I43" s="108"/>
    </row>
    <row r="44" spans="2:9" x14ac:dyDescent="0.3">
      <c r="B44" s="214" t="s">
        <v>433</v>
      </c>
      <c r="C44" s="215">
        <v>0</v>
      </c>
      <c r="D44" s="502">
        <v>10520867</v>
      </c>
      <c r="E44" s="215">
        <v>0</v>
      </c>
      <c r="F44" s="215">
        <v>0</v>
      </c>
      <c r="G44" s="503">
        <f t="shared" si="0"/>
        <v>10520867</v>
      </c>
      <c r="H44" s="119" t="str">
        <f t="shared" si="1"/>
        <v>L</v>
      </c>
      <c r="I44" s="108"/>
    </row>
    <row r="45" spans="2:9" x14ac:dyDescent="0.3">
      <c r="B45" s="214" t="s">
        <v>434</v>
      </c>
      <c r="C45" s="215">
        <v>0</v>
      </c>
      <c r="D45" s="502">
        <v>11770871</v>
      </c>
      <c r="E45" s="215">
        <v>0</v>
      </c>
      <c r="F45" s="215">
        <v>0</v>
      </c>
      <c r="G45" s="503">
        <f t="shared" si="0"/>
        <v>11770871</v>
      </c>
      <c r="H45" s="119" t="str">
        <f t="shared" si="1"/>
        <v>L</v>
      </c>
      <c r="I45" s="108"/>
    </row>
    <row r="46" spans="2:9" x14ac:dyDescent="0.3">
      <c r="B46" s="214" t="s">
        <v>435</v>
      </c>
      <c r="C46" s="215">
        <v>0</v>
      </c>
      <c r="D46" s="502">
        <v>11875038</v>
      </c>
      <c r="E46" s="215">
        <v>0</v>
      </c>
      <c r="F46" s="215">
        <v>0</v>
      </c>
      <c r="G46" s="503">
        <f t="shared" si="0"/>
        <v>11875038</v>
      </c>
      <c r="H46" s="119" t="str">
        <f t="shared" si="1"/>
        <v>L</v>
      </c>
      <c r="I46" s="108"/>
    </row>
    <row r="47" spans="2:9" x14ac:dyDescent="0.3">
      <c r="B47" s="214" t="s">
        <v>436</v>
      </c>
      <c r="C47" s="215">
        <v>0</v>
      </c>
      <c r="D47" s="502">
        <v>11145869</v>
      </c>
      <c r="E47" s="215">
        <v>0</v>
      </c>
      <c r="F47" s="215">
        <v>0</v>
      </c>
      <c r="G47" s="503">
        <f t="shared" si="0"/>
        <v>11145869</v>
      </c>
      <c r="H47" s="119" t="str">
        <f t="shared" si="1"/>
        <v>L</v>
      </c>
      <c r="I47" s="108"/>
    </row>
    <row r="48" spans="2:9" x14ac:dyDescent="0.3">
      <c r="B48" s="214" t="s">
        <v>437</v>
      </c>
      <c r="C48" s="215">
        <v>0</v>
      </c>
      <c r="D48" s="502">
        <v>10937535</v>
      </c>
      <c r="E48" s="215">
        <v>0</v>
      </c>
      <c r="F48" s="215">
        <v>0</v>
      </c>
      <c r="G48" s="503">
        <f t="shared" si="0"/>
        <v>10937535</v>
      </c>
      <c r="H48" s="119" t="str">
        <f t="shared" si="1"/>
        <v>L</v>
      </c>
      <c r="I48" s="108"/>
    </row>
    <row r="49" spans="1:13" x14ac:dyDescent="0.3">
      <c r="B49" s="214" t="s">
        <v>438</v>
      </c>
      <c r="C49" s="215">
        <v>0</v>
      </c>
      <c r="D49" s="502">
        <v>11354203</v>
      </c>
      <c r="E49" s="215">
        <v>0</v>
      </c>
      <c r="F49" s="215">
        <v>0</v>
      </c>
      <c r="G49" s="503">
        <f t="shared" si="0"/>
        <v>11354203</v>
      </c>
      <c r="H49" s="119" t="str">
        <f t="shared" si="1"/>
        <v>L</v>
      </c>
      <c r="I49" s="108"/>
    </row>
    <row r="50" spans="1:13" x14ac:dyDescent="0.3">
      <c r="B50" s="214" t="s">
        <v>439</v>
      </c>
      <c r="C50" s="215">
        <v>0</v>
      </c>
      <c r="D50" s="502">
        <v>11562537</v>
      </c>
      <c r="E50" s="215">
        <v>0</v>
      </c>
      <c r="F50" s="215">
        <v>0</v>
      </c>
      <c r="G50" s="503">
        <f t="shared" si="0"/>
        <v>11562537</v>
      </c>
      <c r="H50" s="119" t="str">
        <f t="shared" si="1"/>
        <v>L</v>
      </c>
      <c r="I50" s="108"/>
    </row>
    <row r="51" spans="1:13" x14ac:dyDescent="0.3">
      <c r="B51" s="214" t="s">
        <v>440</v>
      </c>
      <c r="C51" s="215">
        <v>0</v>
      </c>
      <c r="D51" s="502">
        <v>10625034</v>
      </c>
      <c r="E51" s="215">
        <v>0</v>
      </c>
      <c r="F51" s="215">
        <v>0</v>
      </c>
      <c r="G51" s="503">
        <f t="shared" si="0"/>
        <v>10625034</v>
      </c>
      <c r="H51" s="119" t="str">
        <f t="shared" si="1"/>
        <v>L</v>
      </c>
      <c r="I51" s="108"/>
    </row>
    <row r="52" spans="1:13" x14ac:dyDescent="0.3">
      <c r="B52" s="214" t="s">
        <v>441</v>
      </c>
      <c r="C52" s="215">
        <v>0</v>
      </c>
      <c r="D52" s="502">
        <v>11250036</v>
      </c>
      <c r="E52" s="215">
        <v>0</v>
      </c>
      <c r="F52" s="215">
        <v>0</v>
      </c>
      <c r="G52" s="503">
        <f t="shared" si="0"/>
        <v>11250036</v>
      </c>
      <c r="H52" s="119" t="str">
        <f t="shared" si="1"/>
        <v>L</v>
      </c>
      <c r="I52" s="108"/>
    </row>
    <row r="53" spans="1:13" x14ac:dyDescent="0.3">
      <c r="D53" s="5"/>
      <c r="F53" s="102" t="s">
        <v>484</v>
      </c>
      <c r="G53" s="504">
        <f>SUM(G29:G52)</f>
        <v>250000800</v>
      </c>
      <c r="H53" s="119" t="str">
        <f t="shared" si="1"/>
        <v>L</v>
      </c>
      <c r="I53" s="108"/>
    </row>
    <row r="55" spans="1:13" s="6" customFormat="1" x14ac:dyDescent="0.3">
      <c r="A55" s="6" t="s">
        <v>485</v>
      </c>
    </row>
    <row r="56" spans="1:13" s="15" customFormat="1" x14ac:dyDescent="0.3">
      <c r="B56" s="17"/>
      <c r="D56" s="5"/>
      <c r="H56" s="5"/>
      <c r="I56" s="5"/>
      <c r="J56" s="5"/>
      <c r="K56" s="5"/>
      <c r="L56" s="5"/>
      <c r="M56" s="5"/>
    </row>
    <row r="57" spans="1:13" ht="30" customHeight="1" x14ac:dyDescent="0.3">
      <c r="B57" s="80" t="s">
        <v>486</v>
      </c>
      <c r="C57" s="101" t="s">
        <v>98</v>
      </c>
      <c r="D57" s="5"/>
    </row>
    <row r="58" spans="1:13" ht="73.5" customHeight="1" x14ac:dyDescent="0.3">
      <c r="B58" s="80" t="str">
        <f>CONCATENATE("Conversion factor from ", C25, " to MJ")</f>
        <v>Conversion factor from L to MJ</v>
      </c>
      <c r="C58" s="512">
        <f>'ECCC Parameters'!J65</f>
        <v>23.42</v>
      </c>
      <c r="D58" s="120" t="str">
        <f>CONCATENATE("MJ/", C25)</f>
        <v>MJ/L</v>
      </c>
      <c r="E58" s="104" t="s">
        <v>487</v>
      </c>
    </row>
    <row r="60" spans="1:13" s="6" customFormat="1" x14ac:dyDescent="0.3">
      <c r="A60" s="6" t="s">
        <v>488</v>
      </c>
      <c r="D60" s="20"/>
    </row>
    <row r="63" spans="1:13" x14ac:dyDescent="0.3">
      <c r="B63" s="138" t="s">
        <v>463</v>
      </c>
      <c r="C63" s="272" t="str">
        <f>C11</f>
        <v>Bioethanol</v>
      </c>
      <c r="D63" s="667" t="s">
        <v>489</v>
      </c>
      <c r="E63" s="667"/>
    </row>
    <row r="64" spans="1:13" x14ac:dyDescent="0.3">
      <c r="B64" s="76" t="s">
        <v>490</v>
      </c>
      <c r="C64" s="272">
        <f>IFERROR(G53*C58,"")</f>
        <v>5855018736</v>
      </c>
      <c r="D64" s="667"/>
      <c r="E64" s="667"/>
    </row>
    <row r="65" spans="2:5" x14ac:dyDescent="0.3">
      <c r="B65" s="138" t="s">
        <v>127</v>
      </c>
      <c r="C65" s="273" t="s">
        <v>98</v>
      </c>
      <c r="D65" s="667"/>
      <c r="E65" s="667"/>
    </row>
    <row r="68" spans="2:5" x14ac:dyDescent="0.3">
      <c r="B68" s="274" t="s">
        <v>456</v>
      </c>
    </row>
  </sheetData>
  <customSheetViews>
    <customSheetView guid="{A8E9A491-4491-4848-9959-58297999E6F5}" scale="85" showGridLines="0" topLeftCell="A40">
      <selection activeCell="E19" sqref="E19:F19"/>
      <pageMargins left="0" right="0" top="0" bottom="0" header="0" footer="0"/>
      <pageSetup orientation="portrait" r:id="rId1"/>
    </customSheetView>
    <customSheetView guid="{CBE97499-8DE4-4834-9D9F-4D852DB24A20}" scale="85" showGridLines="0" topLeftCell="A39">
      <selection activeCell="C63" sqref="C63"/>
      <pageMargins left="0" right="0" top="0" bottom="0" header="0" footer="0"/>
      <pageSetup orientation="portrait" r:id="rId2"/>
    </customSheetView>
    <customSheetView guid="{BAC701C4-B534-4ABA-907B-FE30A3505B8B}" scale="85" showGridLines="0" topLeftCell="A40">
      <selection activeCell="E19" sqref="E19:F19"/>
      <pageMargins left="0" right="0" top="0" bottom="0" header="0" footer="0"/>
      <pageSetup orientation="portrait" r:id="rId3"/>
    </customSheetView>
    <customSheetView guid="{3F555A8F-379C-4D2D-833A-FF346FE5F044}" scale="85" showGridLines="0" topLeftCell="A39">
      <selection activeCell="C63" sqref="C63"/>
      <pageMargins left="0" right="0" top="0" bottom="0" header="0" footer="0"/>
      <pageSetup orientation="portrait" r:id="rId4"/>
    </customSheetView>
    <customSheetView guid="{61CEA325-629A-4670-A66B-4314E031BBF1}" scale="85" showGridLines="0" topLeftCell="A40">
      <selection activeCell="E19" sqref="E19:F19"/>
      <pageMargins left="0" right="0" top="0" bottom="0" header="0" footer="0"/>
      <pageSetup orientation="portrait" r:id="rId5"/>
    </customSheetView>
  </customSheetViews>
  <mergeCells count="4">
    <mergeCell ref="E19:F19"/>
    <mergeCell ref="E20:F20"/>
    <mergeCell ref="D63:E65"/>
    <mergeCell ref="B28:F28"/>
  </mergeCells>
  <hyperlinks>
    <hyperlink ref="B68" location="Allocation!A1" display="Allocation!A1" xr:uid="{00000000-0004-0000-0600-000000000000}"/>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600-000000000000}">
          <x14:formula1>
            <xm:f>Lists!$L$5:$L$19</xm:f>
          </x14:formula1>
          <xm:sqref>C10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9"/>
  </sheetPr>
  <dimension ref="A1:L57"/>
  <sheetViews>
    <sheetView showGridLines="0" topLeftCell="A14" zoomScaleNormal="100" workbookViewId="0">
      <selection activeCell="C48" sqref="C48"/>
    </sheetView>
  </sheetViews>
  <sheetFormatPr defaultColWidth="8.6640625" defaultRowHeight="14.4" x14ac:dyDescent="0.3"/>
  <cols>
    <col min="1" max="1" width="4.88671875" customWidth="1"/>
    <col min="2" max="2" width="48.109375" customWidth="1"/>
    <col min="3" max="3" width="33.88671875" customWidth="1"/>
    <col min="4" max="4" width="37" bestFit="1" customWidth="1"/>
    <col min="5" max="5" width="51.109375" bestFit="1" customWidth="1"/>
    <col min="6" max="6" width="32.88671875" customWidth="1"/>
    <col min="7" max="8" width="33.33203125" customWidth="1"/>
  </cols>
  <sheetData>
    <row r="1" spans="1:10" x14ac:dyDescent="0.3">
      <c r="A1" s="347"/>
    </row>
    <row r="2" spans="1:10" ht="15" customHeight="1" x14ac:dyDescent="0.3">
      <c r="A2" s="153" t="s">
        <v>491</v>
      </c>
    </row>
    <row r="3" spans="1:10" s="5" customFormat="1" x14ac:dyDescent="0.3">
      <c r="A3" s="96" t="s">
        <v>492</v>
      </c>
      <c r="D3" s="11"/>
    </row>
    <row r="4" spans="1:10" ht="15" customHeight="1" x14ac:dyDescent="0.3">
      <c r="A4" s="153" t="s">
        <v>493</v>
      </c>
    </row>
    <row r="5" spans="1:10" ht="15" customHeight="1" x14ac:dyDescent="0.3">
      <c r="A5" s="66" t="s">
        <v>494</v>
      </c>
    </row>
    <row r="7" spans="1:10" s="78" customFormat="1" x14ac:dyDescent="0.3">
      <c r="A7" s="6" t="s">
        <v>495</v>
      </c>
      <c r="B7" s="6"/>
      <c r="C7" s="6"/>
      <c r="D7" s="6"/>
      <c r="E7" s="6"/>
    </row>
    <row r="9" spans="1:10" ht="28.8" x14ac:dyDescent="0.3">
      <c r="B9" s="80" t="s">
        <v>463</v>
      </c>
      <c r="C9" s="30" t="s">
        <v>36</v>
      </c>
      <c r="D9" s="121" t="s">
        <v>496</v>
      </c>
    </row>
    <row r="10" spans="1:10" x14ac:dyDescent="0.3">
      <c r="B10" s="49" t="s">
        <v>27</v>
      </c>
      <c r="C10" s="48"/>
    </row>
    <row r="11" spans="1:10" x14ac:dyDescent="0.3">
      <c r="D11" s="5"/>
      <c r="E11" s="27"/>
    </row>
    <row r="12" spans="1:10" x14ac:dyDescent="0.3">
      <c r="B12" s="25" t="s">
        <v>497</v>
      </c>
    </row>
    <row r="13" spans="1:10" ht="28.8" x14ac:dyDescent="0.3">
      <c r="B13" s="97" t="s">
        <v>498</v>
      </c>
      <c r="C13" s="138" t="s">
        <v>123</v>
      </c>
      <c r="D13" s="513" t="str" cm="1">
        <f t="array" ref="D13:D15">TRANSPOSE('Corn (Global)'!B104:D104)</f>
        <v>Corn (Global)</v>
      </c>
      <c r="E13" s="513" t="str" cm="1">
        <f t="array" ref="E13:E15">TRANSPOSE('Wheat (non-durum) (Global)'!B104:D104)</f>
        <v>Wheat (non-durum) (Global)</v>
      </c>
      <c r="F13" s="91" t="s">
        <v>499</v>
      </c>
      <c r="G13" s="329" t="s">
        <v>500</v>
      </c>
      <c r="H13" s="91" t="s">
        <v>442</v>
      </c>
    </row>
    <row r="14" spans="1:10" ht="43.5" customHeight="1" x14ac:dyDescent="0.3">
      <c r="B14" s="97" t="s">
        <v>501</v>
      </c>
      <c r="C14" s="76" t="s">
        <v>502</v>
      </c>
      <c r="D14" s="515">
        <v>496999.94899</v>
      </c>
      <c r="E14" s="515">
        <v>90903.769659999991</v>
      </c>
      <c r="F14" s="30"/>
      <c r="G14" s="670" t="s">
        <v>503</v>
      </c>
      <c r="H14" s="98">
        <f>SUM(D14:F14)</f>
        <v>587903.71864999994</v>
      </c>
      <c r="I14" s="79"/>
      <c r="J14" s="79"/>
    </row>
    <row r="15" spans="1:10" ht="56.4" customHeight="1" x14ac:dyDescent="0.3">
      <c r="B15" s="97" t="s">
        <v>504</v>
      </c>
      <c r="C15" s="76" t="s">
        <v>127</v>
      </c>
      <c r="D15" s="516" t="str">
        <v>t</v>
      </c>
      <c r="E15" s="516" t="str">
        <v>t</v>
      </c>
      <c r="F15" s="30"/>
      <c r="G15" s="671"/>
      <c r="H15" s="30" t="s">
        <v>447</v>
      </c>
      <c r="I15" s="79"/>
      <c r="J15" s="79"/>
    </row>
    <row r="16" spans="1:10" x14ac:dyDescent="0.3">
      <c r="B16" s="3"/>
      <c r="D16" s="261"/>
      <c r="E16" s="27"/>
    </row>
    <row r="17" spans="1:7" x14ac:dyDescent="0.3">
      <c r="B17" s="25" t="s">
        <v>505</v>
      </c>
      <c r="C17" s="25"/>
      <c r="D17" s="25"/>
      <c r="E17" s="25"/>
      <c r="F17" s="25"/>
      <c r="G17" s="25"/>
    </row>
    <row r="18" spans="1:7" x14ac:dyDescent="0.3">
      <c r="B18" s="80" t="s">
        <v>506</v>
      </c>
      <c r="C18" s="514">
        <f>Bioethanol!C64</f>
        <v>5855018736</v>
      </c>
      <c r="D18" s="77" t="s">
        <v>98</v>
      </c>
    </row>
    <row r="19" spans="1:7" x14ac:dyDescent="0.3">
      <c r="B19" s="5"/>
      <c r="C19" s="3"/>
      <c r="D19" s="3"/>
    </row>
    <row r="20" spans="1:7" x14ac:dyDescent="0.3">
      <c r="B20" s="25" t="s">
        <v>507</v>
      </c>
      <c r="C20" s="25"/>
      <c r="D20" s="25"/>
      <c r="E20" s="25"/>
      <c r="F20" s="25"/>
      <c r="G20" s="25"/>
    </row>
    <row r="21" spans="1:7" x14ac:dyDescent="0.3">
      <c r="B21" s="80" t="s">
        <v>508</v>
      </c>
      <c r="C21" s="98">
        <f>IFERROR(C18/H14,"")</f>
        <v>9959.1456054145183</v>
      </c>
      <c r="D21" s="77" t="str">
        <f>CONCATENATE("MJ/",H15)</f>
        <v>MJ/t</v>
      </c>
    </row>
    <row r="22" spans="1:7" x14ac:dyDescent="0.3">
      <c r="B22" s="5"/>
      <c r="C22" s="3"/>
      <c r="D22" s="3"/>
      <c r="E22" s="21"/>
    </row>
    <row r="23" spans="1:7" s="6" customFormat="1" x14ac:dyDescent="0.3">
      <c r="A23" s="6" t="s">
        <v>453</v>
      </c>
      <c r="D23" s="20"/>
    </row>
    <row r="24" spans="1:7" x14ac:dyDescent="0.3">
      <c r="B24" s="5"/>
      <c r="C24" s="3"/>
      <c r="D24" s="3"/>
      <c r="E24" s="21"/>
    </row>
    <row r="25" spans="1:7" x14ac:dyDescent="0.3">
      <c r="B25" s="25" t="s">
        <v>500</v>
      </c>
      <c r="E25" s="62"/>
    </row>
    <row r="26" spans="1:7" x14ac:dyDescent="0.3">
      <c r="B26" s="667" t="s">
        <v>509</v>
      </c>
      <c r="C26" s="138" t="s">
        <v>510</v>
      </c>
      <c r="D26" s="271" t="str">
        <f>IF($C$9="","", CONCATENATE($C$9, " from ",D13))</f>
        <v>Bioethanol from Corn (Global)</v>
      </c>
      <c r="E26" s="271" t="str">
        <f t="shared" ref="E26:F26" si="0">IF($C$9="","", CONCATENATE($C$9, " from ",E13))</f>
        <v>Bioethanol from Wheat (non-durum) (Global)</v>
      </c>
      <c r="F26" s="271" t="str">
        <f t="shared" si="0"/>
        <v>Bioethanol from Feedstock C</v>
      </c>
    </row>
    <row r="27" spans="1:7" x14ac:dyDescent="0.3">
      <c r="B27" s="667"/>
      <c r="C27" s="138" t="s">
        <v>511</v>
      </c>
      <c r="D27" s="511">
        <f>IFERROR($C$21*D14,"")</f>
        <v>4949694857.8749981</v>
      </c>
      <c r="E27" s="511">
        <f>IFERROR($C$21*E14,"")</f>
        <v>905323878.1250025</v>
      </c>
      <c r="F27" s="115">
        <f>IFERROR($C$21*F14,"")</f>
        <v>0</v>
      </c>
    </row>
    <row r="28" spans="1:7" x14ac:dyDescent="0.3">
      <c r="B28" s="667"/>
      <c r="C28" s="138" t="s">
        <v>127</v>
      </c>
      <c r="D28" s="123" t="s">
        <v>98</v>
      </c>
      <c r="E28" s="123" t="s">
        <v>98</v>
      </c>
      <c r="F28" s="123" t="s">
        <v>98</v>
      </c>
    </row>
    <row r="29" spans="1:7" x14ac:dyDescent="0.3">
      <c r="C29" s="3"/>
      <c r="D29" s="3"/>
    </row>
    <row r="30" spans="1:7" x14ac:dyDescent="0.3">
      <c r="B30" s="274" t="s">
        <v>456</v>
      </c>
      <c r="C30" s="3"/>
      <c r="D30" s="3"/>
    </row>
    <row r="31" spans="1:7" x14ac:dyDescent="0.3">
      <c r="B31" s="3"/>
      <c r="C31" s="3"/>
      <c r="D31" s="3"/>
    </row>
    <row r="32" spans="1:7" s="78" customFormat="1" x14ac:dyDescent="0.3">
      <c r="A32" s="6" t="s">
        <v>512</v>
      </c>
      <c r="B32" s="6"/>
      <c r="C32" s="6"/>
      <c r="D32" s="6"/>
      <c r="E32" s="6"/>
    </row>
    <row r="33" spans="1:12" x14ac:dyDescent="0.3">
      <c r="A33" s="221" t="s">
        <v>513</v>
      </c>
      <c r="B33" s="220"/>
      <c r="C33" s="220"/>
      <c r="D33" s="220"/>
      <c r="E33" s="220"/>
      <c r="F33" s="220"/>
      <c r="G33" s="220"/>
      <c r="H33" s="220"/>
      <c r="I33" s="220"/>
      <c r="J33" s="220"/>
      <c r="K33" s="220"/>
      <c r="L33" s="220"/>
    </row>
    <row r="34" spans="1:12" x14ac:dyDescent="0.3">
      <c r="A34" s="220"/>
      <c r="B34" s="220"/>
      <c r="C34" s="220"/>
      <c r="D34" s="220"/>
      <c r="E34" s="220"/>
      <c r="F34" s="220"/>
      <c r="G34" s="220"/>
      <c r="H34" s="220"/>
      <c r="I34" s="220"/>
      <c r="J34" s="220"/>
      <c r="K34" s="220"/>
      <c r="L34" s="220"/>
    </row>
    <row r="35" spans="1:12" ht="28.8" x14ac:dyDescent="0.3">
      <c r="A35" s="220"/>
      <c r="B35" s="222" t="s">
        <v>514</v>
      </c>
      <c r="C35" s="237" t="s">
        <v>36</v>
      </c>
      <c r="D35" s="223"/>
      <c r="E35" s="220"/>
      <c r="F35" s="220"/>
      <c r="G35" s="220"/>
      <c r="H35" s="220"/>
      <c r="I35" s="220"/>
      <c r="J35" s="220"/>
      <c r="K35" s="220"/>
      <c r="L35" s="220"/>
    </row>
    <row r="36" spans="1:12" x14ac:dyDescent="0.3">
      <c r="A36" s="220"/>
      <c r="B36" s="220"/>
      <c r="C36" s="220"/>
      <c r="D36" s="220"/>
      <c r="E36" s="220"/>
      <c r="F36" s="220"/>
      <c r="G36" s="220"/>
      <c r="H36" s="220"/>
      <c r="I36" s="220"/>
      <c r="J36" s="220"/>
      <c r="K36" s="220"/>
      <c r="L36" s="220"/>
    </row>
    <row r="37" spans="1:12" x14ac:dyDescent="0.3">
      <c r="A37" s="220"/>
      <c r="B37" s="224" t="s">
        <v>515</v>
      </c>
      <c r="C37" s="227" t="s">
        <v>516</v>
      </c>
      <c r="D37" s="227" t="s">
        <v>134</v>
      </c>
      <c r="E37" s="229" t="s">
        <v>442</v>
      </c>
      <c r="F37" s="220"/>
      <c r="G37" s="220"/>
      <c r="H37" s="220"/>
      <c r="I37" s="220"/>
      <c r="J37" s="220"/>
      <c r="K37" s="220"/>
      <c r="L37" s="220"/>
    </row>
    <row r="38" spans="1:12" x14ac:dyDescent="0.3">
      <c r="A38" s="220"/>
      <c r="B38" s="225" t="s">
        <v>502</v>
      </c>
      <c r="C38" s="279">
        <v>30005209</v>
      </c>
      <c r="D38" s="279">
        <v>2760192</v>
      </c>
      <c r="E38" s="280">
        <v>32765401</v>
      </c>
      <c r="F38" s="220"/>
      <c r="G38" s="220"/>
      <c r="H38" s="220"/>
      <c r="I38" s="220"/>
      <c r="J38" s="220"/>
      <c r="K38" s="220"/>
      <c r="L38" s="220"/>
    </row>
    <row r="39" spans="1:12" x14ac:dyDescent="0.3">
      <c r="A39" s="220"/>
      <c r="B39" s="225" t="s">
        <v>127</v>
      </c>
      <c r="C39" s="237" t="s">
        <v>517</v>
      </c>
      <c r="D39" s="237" t="s">
        <v>517</v>
      </c>
      <c r="E39" s="237" t="s">
        <v>517</v>
      </c>
      <c r="F39" s="220"/>
      <c r="G39" s="220"/>
      <c r="H39" s="220"/>
      <c r="I39" s="220"/>
      <c r="J39" s="220"/>
      <c r="K39" s="220"/>
      <c r="L39" s="220"/>
    </row>
    <row r="40" spans="1:12" x14ac:dyDescent="0.3">
      <c r="A40" s="220"/>
      <c r="B40" s="220"/>
      <c r="C40" s="220"/>
      <c r="D40" s="220"/>
      <c r="E40" s="228"/>
      <c r="F40" s="220"/>
      <c r="G40" s="220"/>
      <c r="H40" s="220"/>
      <c r="I40" s="220"/>
      <c r="J40" s="220"/>
      <c r="K40" s="220"/>
      <c r="L40" s="220"/>
    </row>
    <row r="41" spans="1:12" x14ac:dyDescent="0.3">
      <c r="A41" s="220"/>
      <c r="B41" s="220"/>
      <c r="C41" s="220"/>
      <c r="D41" s="230"/>
      <c r="E41" s="228"/>
      <c r="F41" s="220"/>
      <c r="G41" s="220"/>
      <c r="H41" s="220"/>
      <c r="I41" s="220"/>
      <c r="J41" s="220"/>
      <c r="K41" s="220"/>
      <c r="L41" s="220"/>
    </row>
    <row r="42" spans="1:12" x14ac:dyDescent="0.3">
      <c r="A42" s="220"/>
      <c r="B42" s="229" t="s">
        <v>506</v>
      </c>
      <c r="C42" s="279">
        <v>92837</v>
      </c>
      <c r="D42" s="231" t="s">
        <v>98</v>
      </c>
      <c r="E42" s="228"/>
      <c r="F42" s="220"/>
      <c r="G42" s="220"/>
      <c r="H42" s="220"/>
      <c r="I42" s="220"/>
      <c r="J42" s="220"/>
      <c r="K42" s="220"/>
      <c r="L42" s="220"/>
    </row>
    <row r="43" spans="1:12" x14ac:dyDescent="0.3">
      <c r="A43" s="220"/>
      <c r="B43" s="220"/>
      <c r="C43" s="220"/>
      <c r="D43" s="220"/>
      <c r="E43" s="220"/>
      <c r="F43" s="220"/>
      <c r="G43" s="220"/>
      <c r="H43" s="220"/>
      <c r="I43" s="220"/>
      <c r="J43" s="220"/>
      <c r="K43" s="220"/>
      <c r="L43" s="220"/>
    </row>
    <row r="44" spans="1:12" x14ac:dyDescent="0.3">
      <c r="A44" s="220"/>
      <c r="B44" s="229" t="s">
        <v>518</v>
      </c>
      <c r="C44" s="232">
        <v>2.8333851308580049E-3</v>
      </c>
      <c r="D44" s="231" t="s">
        <v>519</v>
      </c>
      <c r="E44" s="228"/>
      <c r="F44" s="220"/>
      <c r="G44" s="220"/>
      <c r="H44" s="220"/>
      <c r="I44" s="220"/>
      <c r="J44" s="220"/>
      <c r="K44" s="220"/>
      <c r="L44" s="220"/>
    </row>
    <row r="45" spans="1:12" x14ac:dyDescent="0.3">
      <c r="A45" s="220"/>
      <c r="B45" s="226"/>
      <c r="C45" s="230"/>
      <c r="D45" s="230"/>
      <c r="E45" s="263"/>
      <c r="F45" s="220"/>
      <c r="G45" s="220"/>
      <c r="H45" s="220"/>
      <c r="I45" s="220"/>
      <c r="J45" s="220"/>
      <c r="K45" s="220"/>
      <c r="L45" s="220"/>
    </row>
    <row r="46" spans="1:12" x14ac:dyDescent="0.3">
      <c r="A46" s="220"/>
      <c r="B46" s="268"/>
      <c r="C46" s="269"/>
      <c r="D46" s="269"/>
      <c r="E46" s="264"/>
      <c r="F46" s="220"/>
      <c r="G46" s="220"/>
      <c r="H46" s="220"/>
      <c r="I46" s="220"/>
      <c r="J46" s="220"/>
      <c r="K46" s="220"/>
      <c r="L46" s="220"/>
    </row>
    <row r="47" spans="1:12" x14ac:dyDescent="0.3">
      <c r="A47" s="220"/>
      <c r="B47" s="233" t="s">
        <v>520</v>
      </c>
      <c r="C47" s="270" t="s">
        <v>521</v>
      </c>
      <c r="D47" s="235" t="s">
        <v>522</v>
      </c>
      <c r="E47" s="264"/>
      <c r="F47" s="265"/>
      <c r="G47" s="266"/>
      <c r="H47" s="266"/>
      <c r="I47" s="220"/>
      <c r="J47" s="220"/>
      <c r="K47" s="220"/>
      <c r="L47" s="220"/>
    </row>
    <row r="48" spans="1:12" x14ac:dyDescent="0.3">
      <c r="A48" s="220"/>
      <c r="B48" s="234" t="s">
        <v>502</v>
      </c>
      <c r="C48" s="281">
        <v>85016.313028886783</v>
      </c>
      <c r="D48" s="282">
        <v>7820.6869711132185</v>
      </c>
      <c r="E48" s="220"/>
      <c r="F48" s="230"/>
      <c r="G48" s="267"/>
      <c r="H48" s="266"/>
      <c r="I48" s="220"/>
      <c r="J48" s="220"/>
      <c r="K48" s="220"/>
      <c r="L48" s="220"/>
    </row>
    <row r="49" spans="1:12" x14ac:dyDescent="0.3">
      <c r="A49" s="220"/>
      <c r="B49" s="258" t="s">
        <v>127</v>
      </c>
      <c r="C49" s="262" t="s">
        <v>98</v>
      </c>
      <c r="D49" s="236" t="s">
        <v>98</v>
      </c>
      <c r="E49" s="220"/>
      <c r="F49" s="220"/>
      <c r="G49" s="220"/>
      <c r="H49" s="220"/>
      <c r="I49" s="220"/>
      <c r="J49" s="220"/>
      <c r="K49" s="220"/>
      <c r="L49" s="220"/>
    </row>
    <row r="50" spans="1:12" x14ac:dyDescent="0.3">
      <c r="A50" s="220"/>
      <c r="B50" s="220"/>
      <c r="C50" s="220"/>
      <c r="D50" s="220"/>
      <c r="E50" s="220"/>
      <c r="F50" s="220"/>
      <c r="G50" s="220"/>
      <c r="H50" s="220"/>
      <c r="I50" s="220"/>
      <c r="J50" s="220"/>
      <c r="K50" s="220"/>
      <c r="L50" s="220"/>
    </row>
    <row r="51" spans="1:12" x14ac:dyDescent="0.3">
      <c r="A51" s="220"/>
      <c r="B51" s="220"/>
      <c r="C51" s="220"/>
      <c r="D51" s="220"/>
      <c r="E51" s="220"/>
      <c r="F51" s="220"/>
      <c r="G51" s="220"/>
      <c r="H51" s="220"/>
      <c r="I51" s="220"/>
      <c r="J51" s="220"/>
      <c r="K51" s="220"/>
      <c r="L51" s="220"/>
    </row>
    <row r="52" spans="1:12" x14ac:dyDescent="0.3">
      <c r="A52" s="220"/>
      <c r="B52" s="220"/>
      <c r="C52" s="220"/>
      <c r="D52" s="220"/>
      <c r="E52" s="220"/>
      <c r="F52" s="220"/>
      <c r="G52" s="220"/>
      <c r="H52" s="220"/>
      <c r="I52" s="220"/>
      <c r="J52" s="220"/>
      <c r="K52" s="220"/>
      <c r="L52" s="220"/>
    </row>
    <row r="53" spans="1:12" x14ac:dyDescent="0.3">
      <c r="A53" s="220"/>
      <c r="B53" s="220"/>
      <c r="C53" s="220"/>
      <c r="D53" s="220"/>
      <c r="E53" s="220"/>
      <c r="F53" s="220"/>
      <c r="G53" s="220"/>
      <c r="H53" s="220"/>
      <c r="I53" s="220"/>
      <c r="J53" s="220"/>
      <c r="K53" s="220"/>
      <c r="L53" s="220"/>
    </row>
    <row r="54" spans="1:12" x14ac:dyDescent="0.3">
      <c r="A54" s="220"/>
      <c r="B54" s="220"/>
      <c r="C54" s="220"/>
      <c r="D54" s="220"/>
      <c r="E54" s="220"/>
      <c r="F54" s="220"/>
      <c r="G54" s="220"/>
      <c r="H54" s="220"/>
      <c r="I54" s="220"/>
      <c r="J54" s="220"/>
      <c r="K54" s="220"/>
      <c r="L54" s="220"/>
    </row>
    <row r="55" spans="1:12" x14ac:dyDescent="0.3">
      <c r="A55" s="220"/>
      <c r="B55" s="220"/>
      <c r="C55" s="220"/>
      <c r="D55" s="220"/>
      <c r="E55" s="220"/>
      <c r="F55" s="220"/>
      <c r="G55" s="220"/>
      <c r="H55" s="220"/>
      <c r="I55" s="220"/>
      <c r="J55" s="220"/>
      <c r="K55" s="220"/>
      <c r="L55" s="220"/>
    </row>
    <row r="56" spans="1:12" x14ac:dyDescent="0.3">
      <c r="A56" s="220"/>
      <c r="B56" s="220"/>
      <c r="C56" s="220"/>
      <c r="D56" s="220"/>
      <c r="E56" s="220"/>
      <c r="F56" s="220"/>
      <c r="G56" s="220"/>
      <c r="H56" s="220"/>
      <c r="I56" s="220"/>
      <c r="J56" s="220"/>
      <c r="K56" s="220"/>
      <c r="L56" s="220"/>
    </row>
    <row r="57" spans="1:12" x14ac:dyDescent="0.3">
      <c r="A57" s="220"/>
      <c r="B57" s="220"/>
      <c r="C57" s="220"/>
      <c r="D57" s="220"/>
      <c r="E57" s="220"/>
      <c r="F57" s="220"/>
      <c r="G57" s="220"/>
      <c r="H57" s="220"/>
      <c r="I57" s="220"/>
      <c r="J57" s="220"/>
      <c r="K57" s="220"/>
      <c r="L57" s="220"/>
    </row>
  </sheetData>
  <customSheetViews>
    <customSheetView guid="{A8E9A491-4491-4848-9959-58297999E6F5}" showGridLines="0" topLeftCell="A7">
      <selection activeCell="D18" sqref="D18"/>
      <pageMargins left="0" right="0" top="0" bottom="0" header="0" footer="0"/>
      <pageSetup orientation="portrait" r:id="rId1"/>
    </customSheetView>
    <customSheetView guid="{CBE97499-8DE4-4834-9D9F-4D852DB24A20}" showGridLines="0">
      <selection activeCell="F27" sqref="F27"/>
      <pageMargins left="0" right="0" top="0" bottom="0" header="0" footer="0"/>
      <pageSetup orientation="portrait" r:id="rId2"/>
    </customSheetView>
    <customSheetView guid="{BAC701C4-B534-4ABA-907B-FE30A3505B8B}" showGridLines="0" topLeftCell="A13">
      <selection activeCell="J19" sqref="J19"/>
      <pageMargins left="0" right="0" top="0" bottom="0" header="0" footer="0"/>
      <pageSetup orientation="portrait" r:id="rId3"/>
    </customSheetView>
    <customSheetView guid="{3F555A8F-379C-4D2D-833A-FF346FE5F044}" showGridLines="0">
      <selection activeCell="F27" sqref="F27"/>
      <pageMargins left="0" right="0" top="0" bottom="0" header="0" footer="0"/>
      <pageSetup orientation="portrait" r:id="rId4"/>
    </customSheetView>
    <customSheetView guid="{61CEA325-629A-4670-A66B-4314E031BBF1}" showGridLines="0" topLeftCell="A7">
      <selection activeCell="D18" sqref="D18"/>
      <pageMargins left="0" right="0" top="0" bottom="0" header="0" footer="0"/>
      <pageSetup orientation="portrait" r:id="rId5"/>
    </customSheetView>
  </customSheetViews>
  <mergeCells count="2">
    <mergeCell ref="B26:B28"/>
    <mergeCell ref="G14:G15"/>
  </mergeCells>
  <hyperlinks>
    <hyperlink ref="B30" location="Allocation!A1" display="Allocation!A1" xr:uid="{00000000-0004-0000-0700-000000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9"/>
  </sheetPr>
  <dimension ref="A1:N72"/>
  <sheetViews>
    <sheetView showGridLines="0" topLeftCell="A52" zoomScale="85" zoomScaleNormal="85" workbookViewId="0">
      <selection activeCell="C30" sqref="C30"/>
    </sheetView>
  </sheetViews>
  <sheetFormatPr defaultColWidth="11.44140625" defaultRowHeight="14.4" x14ac:dyDescent="0.3"/>
  <cols>
    <col min="1" max="1" width="6.44140625" style="5" customWidth="1"/>
    <col min="2" max="2" width="40.109375" style="5" customWidth="1"/>
    <col min="3" max="3" width="53.88671875" style="5" bestFit="1" customWidth="1"/>
    <col min="4" max="4" width="36.44140625" style="21" customWidth="1"/>
    <col min="5" max="7" width="37.6640625" style="5" customWidth="1"/>
    <col min="8" max="8" width="12.88671875" style="5" customWidth="1"/>
    <col min="9" max="16384" width="11.44140625" style="5"/>
  </cols>
  <sheetData>
    <row r="1" spans="1:14" x14ac:dyDescent="0.3">
      <c r="A1" s="347"/>
    </row>
    <row r="2" spans="1:14" x14ac:dyDescent="0.3">
      <c r="A2" s="96" t="s">
        <v>523</v>
      </c>
      <c r="D2" s="11"/>
    </row>
    <row r="3" spans="1:14" x14ac:dyDescent="0.3">
      <c r="A3" s="66" t="s">
        <v>524</v>
      </c>
      <c r="D3" s="11"/>
    </row>
    <row r="4" spans="1:14" x14ac:dyDescent="0.3">
      <c r="A4" s="66" t="s">
        <v>525</v>
      </c>
      <c r="D4" s="11"/>
    </row>
    <row r="5" spans="1:14" x14ac:dyDescent="0.3">
      <c r="A5" s="66" t="s">
        <v>526</v>
      </c>
      <c r="D5" s="11"/>
    </row>
    <row r="6" spans="1:14" x14ac:dyDescent="0.3">
      <c r="A6" s="66" t="s">
        <v>527</v>
      </c>
      <c r="D6" s="11"/>
    </row>
    <row r="7" spans="1:14" x14ac:dyDescent="0.3">
      <c r="B7" s="64"/>
      <c r="D7" s="11"/>
    </row>
    <row r="8" spans="1:14" s="6" customFormat="1" x14ac:dyDescent="0.3">
      <c r="A8" s="6" t="s">
        <v>356</v>
      </c>
    </row>
    <row r="9" spans="1:14" x14ac:dyDescent="0.3">
      <c r="D9" s="11"/>
    </row>
    <row r="10" spans="1:14" s="75" customFormat="1" x14ac:dyDescent="0.3">
      <c r="A10" s="75" t="s">
        <v>528</v>
      </c>
    </row>
    <row r="11" spans="1:14" s="32" customFormat="1" x14ac:dyDescent="0.3"/>
    <row r="12" spans="1:14" ht="43.5" customHeight="1" x14ac:dyDescent="0.3">
      <c r="B12" s="80" t="s">
        <v>529</v>
      </c>
      <c r="C12" s="24" t="s">
        <v>530</v>
      </c>
      <c r="D12" s="676" t="s">
        <v>531</v>
      </c>
      <c r="E12" s="677"/>
    </row>
    <row r="13" spans="1:14" x14ac:dyDescent="0.3">
      <c r="B13" s="80" t="s">
        <v>532</v>
      </c>
      <c r="C13" s="114" t="str">
        <f>IF(C12="New co-product", C17, IF(C12="Select Co-product","",C12))</f>
        <v>Animal feeds</v>
      </c>
      <c r="D13" s="678" t="s">
        <v>464</v>
      </c>
      <c r="E13" s="679"/>
    </row>
    <row r="14" spans="1:14" customFormat="1" x14ac:dyDescent="0.3">
      <c r="B14" s="49" t="s">
        <v>27</v>
      </c>
      <c r="C14" s="48" t="s">
        <v>533</v>
      </c>
    </row>
    <row r="16" spans="1:14" x14ac:dyDescent="0.3">
      <c r="B16" s="25" t="s">
        <v>534</v>
      </c>
      <c r="D16" s="23"/>
      <c r="F16" s="21"/>
      <c r="N16" s="19"/>
    </row>
    <row r="17" spans="1:14" x14ac:dyDescent="0.3">
      <c r="B17" s="80" t="s">
        <v>535</v>
      </c>
      <c r="C17" s="24"/>
      <c r="D17" s="23"/>
      <c r="F17" s="21"/>
      <c r="N17" s="19"/>
    </row>
    <row r="18" spans="1:14" x14ac:dyDescent="0.3">
      <c r="B18" s="80" t="s">
        <v>536</v>
      </c>
      <c r="C18" s="24"/>
      <c r="D18" s="23"/>
      <c r="F18" s="21"/>
      <c r="N18" s="19"/>
    </row>
    <row r="19" spans="1:14" x14ac:dyDescent="0.3">
      <c r="D19" s="5"/>
    </row>
    <row r="20" spans="1:14" s="75" customFormat="1" x14ac:dyDescent="0.3">
      <c r="A20" s="75" t="s">
        <v>537</v>
      </c>
    </row>
    <row r="21" spans="1:14" ht="33" customHeight="1" x14ac:dyDescent="0.3">
      <c r="B21" s="80" t="s">
        <v>538</v>
      </c>
      <c r="C21" s="523">
        <f>'ECCC Parameters'!C82</f>
        <v>21.75</v>
      </c>
      <c r="D21" s="84" t="s">
        <v>470</v>
      </c>
      <c r="E21" s="676" t="s">
        <v>539</v>
      </c>
      <c r="F21" s="677"/>
    </row>
    <row r="22" spans="1:14" ht="33" customHeight="1" x14ac:dyDescent="0.3">
      <c r="B22" s="80" t="s">
        <v>540</v>
      </c>
      <c r="C22" s="9" t="str">
        <f>'ECCC Parameters'!D82</f>
        <v>N/A</v>
      </c>
      <c r="D22" s="84" t="s">
        <v>302</v>
      </c>
      <c r="E22" s="676" t="s">
        <v>541</v>
      </c>
      <c r="F22" s="677"/>
    </row>
    <row r="23" spans="1:14" x14ac:dyDescent="0.3">
      <c r="D23" s="5"/>
    </row>
    <row r="25" spans="1:14" s="6" customFormat="1" x14ac:dyDescent="0.3">
      <c r="A25" s="6" t="s">
        <v>542</v>
      </c>
    </row>
    <row r="26" spans="1:14" x14ac:dyDescent="0.3">
      <c r="D26" s="5"/>
    </row>
    <row r="27" spans="1:14" ht="28.8" x14ac:dyDescent="0.3">
      <c r="B27" s="80" t="s">
        <v>543</v>
      </c>
      <c r="C27" s="10" t="s">
        <v>406</v>
      </c>
      <c r="D27" s="597" t="s">
        <v>544</v>
      </c>
      <c r="E27" s="597"/>
    </row>
    <row r="28" spans="1:14" x14ac:dyDescent="0.3">
      <c r="B28" s="80" t="s">
        <v>408</v>
      </c>
      <c r="C28" s="10" t="s">
        <v>409</v>
      </c>
      <c r="D28" s="99"/>
      <c r="E28" s="99"/>
    </row>
    <row r="29" spans="1:14" ht="78" customHeight="1" x14ac:dyDescent="0.3">
      <c r="B29" s="80" t="s">
        <v>545</v>
      </c>
      <c r="C29" s="590">
        <f>'Side Calc. - WDGS'!C32</f>
        <v>0.64998333349003079</v>
      </c>
      <c r="D29" s="598" t="s">
        <v>546</v>
      </c>
      <c r="E29" s="598"/>
    </row>
    <row r="30" spans="1:14" x14ac:dyDescent="0.3">
      <c r="D30" s="5"/>
    </row>
    <row r="31" spans="1:14" ht="28.8" x14ac:dyDescent="0.3">
      <c r="B31" s="76" t="s">
        <v>412</v>
      </c>
      <c r="C31" s="76" t="s">
        <v>547</v>
      </c>
      <c r="D31" s="76" t="s">
        <v>548</v>
      </c>
      <c r="E31" s="76" t="s">
        <v>549</v>
      </c>
      <c r="F31" s="76" t="s">
        <v>550</v>
      </c>
      <c r="G31" s="76" t="s">
        <v>551</v>
      </c>
      <c r="H31" s="122" t="s">
        <v>127</v>
      </c>
    </row>
    <row r="32" spans="1:14" x14ac:dyDescent="0.3">
      <c r="B32" s="672" t="s">
        <v>417</v>
      </c>
      <c r="C32" s="673"/>
      <c r="D32" s="673"/>
      <c r="E32" s="673"/>
      <c r="F32" s="674"/>
      <c r="G32" s="86"/>
      <c r="H32" s="355"/>
    </row>
    <row r="33" spans="2:8" x14ac:dyDescent="0.3">
      <c r="B33" s="214" t="s">
        <v>418</v>
      </c>
      <c r="C33" s="215">
        <v>0</v>
      </c>
      <c r="D33" s="502">
        <v>3017.3580000000002</v>
      </c>
      <c r="E33" s="215">
        <v>0</v>
      </c>
      <c r="F33" s="215">
        <v>0</v>
      </c>
      <c r="G33" s="238">
        <f>E33-C33+D33-F33</f>
        <v>3017.3580000000002</v>
      </c>
      <c r="H33" s="61" t="str">
        <f t="shared" ref="H33:H57" si="0">IF($C$27="Unit","",$C$27)</f>
        <v>tonnes</v>
      </c>
    </row>
    <row r="34" spans="2:8" x14ac:dyDescent="0.3">
      <c r="B34" s="214" t="s">
        <v>419</v>
      </c>
      <c r="C34" s="215">
        <v>0</v>
      </c>
      <c r="D34" s="502">
        <v>3194.8499999999967</v>
      </c>
      <c r="E34" s="215">
        <v>0</v>
      </c>
      <c r="F34" s="215">
        <v>0</v>
      </c>
      <c r="G34" s="238">
        <f t="shared" ref="G34:G56" si="1">E34-C34+D34-F34</f>
        <v>3194.8499999999967</v>
      </c>
      <c r="H34" s="61" t="str">
        <f t="shared" si="0"/>
        <v>tonnes</v>
      </c>
    </row>
    <row r="35" spans="2:8" x14ac:dyDescent="0.3">
      <c r="B35" s="214" t="s">
        <v>420</v>
      </c>
      <c r="C35" s="215">
        <v>0</v>
      </c>
      <c r="D35" s="502">
        <v>3443.3380000000002</v>
      </c>
      <c r="E35" s="215">
        <v>0</v>
      </c>
      <c r="F35" s="215">
        <v>0</v>
      </c>
      <c r="G35" s="238">
        <f t="shared" si="1"/>
        <v>3443.3380000000002</v>
      </c>
      <c r="H35" s="61" t="str">
        <f t="shared" si="0"/>
        <v>tonnes</v>
      </c>
    </row>
    <row r="36" spans="2:8" x14ac:dyDescent="0.3">
      <c r="B36" s="214" t="s">
        <v>421</v>
      </c>
      <c r="C36" s="215">
        <v>0</v>
      </c>
      <c r="D36" s="502">
        <v>3514.3349999999964</v>
      </c>
      <c r="E36" s="215">
        <v>0</v>
      </c>
      <c r="F36" s="215">
        <v>0</v>
      </c>
      <c r="G36" s="238">
        <f t="shared" si="1"/>
        <v>3514.3349999999964</v>
      </c>
      <c r="H36" s="61" t="str">
        <f t="shared" si="0"/>
        <v>tonnes</v>
      </c>
    </row>
    <row r="37" spans="2:8" x14ac:dyDescent="0.3">
      <c r="B37" s="214" t="s">
        <v>422</v>
      </c>
      <c r="C37" s="215">
        <v>0</v>
      </c>
      <c r="D37" s="502">
        <v>3088.3549999999968</v>
      </c>
      <c r="E37" s="215">
        <v>0</v>
      </c>
      <c r="F37" s="215">
        <v>0</v>
      </c>
      <c r="G37" s="238">
        <f t="shared" si="1"/>
        <v>3088.3549999999968</v>
      </c>
      <c r="H37" s="61" t="str">
        <f t="shared" si="0"/>
        <v>tonnes</v>
      </c>
    </row>
    <row r="38" spans="2:8" x14ac:dyDescent="0.3">
      <c r="B38" s="214" t="s">
        <v>423</v>
      </c>
      <c r="C38" s="215">
        <v>0</v>
      </c>
      <c r="D38" s="502">
        <v>3052.857</v>
      </c>
      <c r="E38" s="215">
        <v>0</v>
      </c>
      <c r="F38" s="215">
        <v>0</v>
      </c>
      <c r="G38" s="238">
        <f t="shared" si="1"/>
        <v>3052.857</v>
      </c>
      <c r="H38" s="61" t="str">
        <f t="shared" si="0"/>
        <v>tonnes</v>
      </c>
    </row>
    <row r="39" spans="2:8" x14ac:dyDescent="0.3">
      <c r="B39" s="214" t="s">
        <v>424</v>
      </c>
      <c r="C39" s="215">
        <v>0</v>
      </c>
      <c r="D39" s="502">
        <v>3301.3449999999971</v>
      </c>
      <c r="E39" s="215">
        <v>0</v>
      </c>
      <c r="F39" s="215">
        <v>0</v>
      </c>
      <c r="G39" s="238">
        <f t="shared" si="1"/>
        <v>3301.3449999999971</v>
      </c>
      <c r="H39" s="61" t="str">
        <f t="shared" si="0"/>
        <v>tonnes</v>
      </c>
    </row>
    <row r="40" spans="2:8" x14ac:dyDescent="0.3">
      <c r="B40" s="214" t="s">
        <v>425</v>
      </c>
      <c r="C40" s="215">
        <v>0</v>
      </c>
      <c r="D40" s="502">
        <v>3372.3420000000001</v>
      </c>
      <c r="E40" s="215">
        <v>0</v>
      </c>
      <c r="F40" s="215">
        <v>0</v>
      </c>
      <c r="G40" s="238">
        <f t="shared" si="1"/>
        <v>3372.3420000000001</v>
      </c>
      <c r="H40" s="61" t="str">
        <f t="shared" si="0"/>
        <v>tonnes</v>
      </c>
    </row>
    <row r="41" spans="2:8" x14ac:dyDescent="0.3">
      <c r="B41" s="214" t="s">
        <v>426</v>
      </c>
      <c r="C41" s="215">
        <v>0</v>
      </c>
      <c r="D41" s="502">
        <v>3230.348</v>
      </c>
      <c r="E41" s="215">
        <v>0</v>
      </c>
      <c r="F41" s="215">
        <v>0</v>
      </c>
      <c r="G41" s="238">
        <f t="shared" si="1"/>
        <v>3230.348</v>
      </c>
      <c r="H41" s="61" t="str">
        <f t="shared" si="0"/>
        <v>tonnes</v>
      </c>
    </row>
    <row r="42" spans="2:8" x14ac:dyDescent="0.3">
      <c r="B42" s="214" t="s">
        <v>427</v>
      </c>
      <c r="C42" s="215">
        <v>0</v>
      </c>
      <c r="D42" s="502">
        <v>3159.3519999999999</v>
      </c>
      <c r="E42" s="215">
        <v>0</v>
      </c>
      <c r="F42" s="215">
        <v>0</v>
      </c>
      <c r="G42" s="238">
        <f t="shared" si="1"/>
        <v>3159.3519999999999</v>
      </c>
      <c r="H42" s="61" t="str">
        <f t="shared" si="0"/>
        <v>tonnes</v>
      </c>
    </row>
    <row r="43" spans="2:8" x14ac:dyDescent="0.3">
      <c r="B43" s="214" t="s">
        <v>428</v>
      </c>
      <c r="C43" s="215">
        <v>0</v>
      </c>
      <c r="D43" s="502">
        <v>3478.837</v>
      </c>
      <c r="E43" s="215">
        <v>0</v>
      </c>
      <c r="F43" s="215">
        <v>0</v>
      </c>
      <c r="G43" s="238">
        <f t="shared" si="1"/>
        <v>3478.837</v>
      </c>
      <c r="H43" s="61" t="str">
        <f t="shared" si="0"/>
        <v>tonnes</v>
      </c>
    </row>
    <row r="44" spans="2:8" x14ac:dyDescent="0.3">
      <c r="B44" s="214" t="s">
        <v>429</v>
      </c>
      <c r="C44" s="215">
        <v>0</v>
      </c>
      <c r="D44" s="502">
        <v>3265.8470000000002</v>
      </c>
      <c r="E44" s="215">
        <v>0</v>
      </c>
      <c r="F44" s="215">
        <v>0</v>
      </c>
      <c r="G44" s="238">
        <f t="shared" si="1"/>
        <v>3265.8470000000002</v>
      </c>
      <c r="H44" s="61" t="str">
        <f t="shared" si="0"/>
        <v>tonnes</v>
      </c>
    </row>
    <row r="45" spans="2:8" x14ac:dyDescent="0.3">
      <c r="B45" s="214" t="s">
        <v>430</v>
      </c>
      <c r="C45" s="215">
        <v>0</v>
      </c>
      <c r="D45" s="502">
        <v>4082.308</v>
      </c>
      <c r="E45" s="215">
        <v>0</v>
      </c>
      <c r="F45" s="215">
        <v>0</v>
      </c>
      <c r="G45" s="238">
        <f t="shared" si="1"/>
        <v>4082.308</v>
      </c>
      <c r="H45" s="61" t="str">
        <f t="shared" si="0"/>
        <v>tonnes</v>
      </c>
    </row>
    <row r="46" spans="2:8" x14ac:dyDescent="0.3">
      <c r="B46" s="214" t="s">
        <v>431</v>
      </c>
      <c r="C46" s="215">
        <v>0</v>
      </c>
      <c r="D46" s="502">
        <v>3904.817</v>
      </c>
      <c r="E46" s="215">
        <v>0</v>
      </c>
      <c r="F46" s="215">
        <v>0</v>
      </c>
      <c r="G46" s="238">
        <f t="shared" si="1"/>
        <v>3904.817</v>
      </c>
      <c r="H46" s="61" t="str">
        <f t="shared" si="0"/>
        <v>tonnes</v>
      </c>
    </row>
    <row r="47" spans="2:8" x14ac:dyDescent="0.3">
      <c r="B47" s="214" t="s">
        <v>432</v>
      </c>
      <c r="C47" s="215">
        <v>0</v>
      </c>
      <c r="D47" s="502">
        <v>3656.328</v>
      </c>
      <c r="E47" s="215">
        <v>0</v>
      </c>
      <c r="F47" s="215">
        <v>0</v>
      </c>
      <c r="G47" s="238">
        <f t="shared" si="1"/>
        <v>3656.328</v>
      </c>
      <c r="H47" s="61" t="str">
        <f t="shared" si="0"/>
        <v>tonnes</v>
      </c>
    </row>
    <row r="48" spans="2:8" x14ac:dyDescent="0.3">
      <c r="B48" s="214" t="s">
        <v>433</v>
      </c>
      <c r="C48" s="215">
        <v>0</v>
      </c>
      <c r="D48" s="502">
        <v>3585.3319999999999</v>
      </c>
      <c r="E48" s="215">
        <v>0</v>
      </c>
      <c r="F48" s="215">
        <v>0</v>
      </c>
      <c r="G48" s="238">
        <f t="shared" si="1"/>
        <v>3585.3319999999999</v>
      </c>
      <c r="H48" s="61" t="str">
        <f t="shared" si="0"/>
        <v>tonnes</v>
      </c>
    </row>
    <row r="49" spans="1:8" x14ac:dyDescent="0.3">
      <c r="B49" s="214" t="s">
        <v>434</v>
      </c>
      <c r="C49" s="215">
        <v>0</v>
      </c>
      <c r="D49" s="502">
        <v>4011.3119999999999</v>
      </c>
      <c r="E49" s="215">
        <v>0</v>
      </c>
      <c r="F49" s="215">
        <v>0</v>
      </c>
      <c r="G49" s="238">
        <f t="shared" si="1"/>
        <v>4011.3119999999999</v>
      </c>
      <c r="H49" s="61" t="str">
        <f t="shared" si="0"/>
        <v>tonnes</v>
      </c>
    </row>
    <row r="50" spans="1:8" x14ac:dyDescent="0.3">
      <c r="B50" s="214" t="s">
        <v>435</v>
      </c>
      <c r="C50" s="215">
        <v>0</v>
      </c>
      <c r="D50" s="502">
        <v>4046.8099999999963</v>
      </c>
      <c r="E50" s="215">
        <v>0</v>
      </c>
      <c r="F50" s="215">
        <v>0</v>
      </c>
      <c r="G50" s="238">
        <f t="shared" si="1"/>
        <v>4046.8099999999963</v>
      </c>
      <c r="H50" s="61" t="str">
        <f t="shared" si="0"/>
        <v>tonnes</v>
      </c>
    </row>
    <row r="51" spans="1:8" x14ac:dyDescent="0.3">
      <c r="B51" s="214" t="s">
        <v>436</v>
      </c>
      <c r="C51" s="215">
        <v>0</v>
      </c>
      <c r="D51" s="502">
        <v>3798.3220000000001</v>
      </c>
      <c r="E51" s="215">
        <v>0</v>
      </c>
      <c r="F51" s="215">
        <v>0</v>
      </c>
      <c r="G51" s="238">
        <f t="shared" si="1"/>
        <v>3798.3220000000001</v>
      </c>
      <c r="H51" s="61" t="str">
        <f t="shared" si="0"/>
        <v>tonnes</v>
      </c>
    </row>
    <row r="52" spans="1:8" x14ac:dyDescent="0.3">
      <c r="B52" s="214" t="s">
        <v>437</v>
      </c>
      <c r="C52" s="215">
        <v>0</v>
      </c>
      <c r="D52" s="502">
        <v>3727.3249999999966</v>
      </c>
      <c r="E52" s="215">
        <v>0</v>
      </c>
      <c r="F52" s="215">
        <v>0</v>
      </c>
      <c r="G52" s="238">
        <f t="shared" si="1"/>
        <v>3727.3249999999966</v>
      </c>
      <c r="H52" s="61" t="str">
        <f t="shared" si="0"/>
        <v>tonnes</v>
      </c>
    </row>
    <row r="53" spans="1:8" x14ac:dyDescent="0.3">
      <c r="B53" s="214" t="s">
        <v>438</v>
      </c>
      <c r="C53" s="215">
        <v>0</v>
      </c>
      <c r="D53" s="502">
        <v>3869.3180000000002</v>
      </c>
      <c r="E53" s="215">
        <v>0</v>
      </c>
      <c r="F53" s="215">
        <v>0</v>
      </c>
      <c r="G53" s="238">
        <f t="shared" si="1"/>
        <v>3869.3180000000002</v>
      </c>
      <c r="H53" s="61" t="str">
        <f t="shared" si="0"/>
        <v>tonnes</v>
      </c>
    </row>
    <row r="54" spans="1:8" x14ac:dyDescent="0.3">
      <c r="B54" s="214" t="s">
        <v>439</v>
      </c>
      <c r="C54" s="215">
        <v>0</v>
      </c>
      <c r="D54" s="502">
        <v>3940.3149999999955</v>
      </c>
      <c r="E54" s="215">
        <v>0</v>
      </c>
      <c r="F54" s="215">
        <v>0</v>
      </c>
      <c r="G54" s="238">
        <f t="shared" si="1"/>
        <v>3940.3149999999955</v>
      </c>
      <c r="H54" s="61" t="str">
        <f t="shared" si="0"/>
        <v>tonnes</v>
      </c>
    </row>
    <row r="55" spans="1:8" x14ac:dyDescent="0.3">
      <c r="B55" s="214" t="s">
        <v>440</v>
      </c>
      <c r="C55" s="215">
        <v>0</v>
      </c>
      <c r="D55" s="502">
        <v>3620.8299999999963</v>
      </c>
      <c r="E55" s="215">
        <v>0</v>
      </c>
      <c r="F55" s="215">
        <v>0</v>
      </c>
      <c r="G55" s="238">
        <f t="shared" si="1"/>
        <v>3620.8299999999963</v>
      </c>
      <c r="H55" s="61" t="str">
        <f t="shared" si="0"/>
        <v>tonnes</v>
      </c>
    </row>
    <row r="56" spans="1:8" x14ac:dyDescent="0.3">
      <c r="B56" s="214" t="s">
        <v>441</v>
      </c>
      <c r="C56" s="215">
        <v>0</v>
      </c>
      <c r="D56" s="502">
        <v>3833.8199999999965</v>
      </c>
      <c r="E56" s="215">
        <v>0</v>
      </c>
      <c r="F56" s="215">
        <v>0</v>
      </c>
      <c r="G56" s="238">
        <f t="shared" si="1"/>
        <v>3833.8199999999965</v>
      </c>
      <c r="H56" s="61" t="str">
        <f t="shared" si="0"/>
        <v>tonnes</v>
      </c>
    </row>
    <row r="57" spans="1:8" x14ac:dyDescent="0.3">
      <c r="C57" s="15"/>
      <c r="D57" s="5"/>
      <c r="E57" s="15"/>
      <c r="F57" s="102" t="s">
        <v>552</v>
      </c>
      <c r="G57" s="283">
        <f>SUM(G33:G56)</f>
        <v>85196.000999999975</v>
      </c>
      <c r="H57" s="202" t="str">
        <f t="shared" si="0"/>
        <v>tonnes</v>
      </c>
    </row>
    <row r="59" spans="1:8" s="6" customFormat="1" x14ac:dyDescent="0.3">
      <c r="A59" s="6" t="s">
        <v>553</v>
      </c>
    </row>
    <row r="60" spans="1:8" s="15" customFormat="1" x14ac:dyDescent="0.3">
      <c r="B60" s="17"/>
      <c r="D60" s="5"/>
    </row>
    <row r="61" spans="1:8" ht="39.75" customHeight="1" x14ac:dyDescent="0.3">
      <c r="B61" s="350" t="s">
        <v>554</v>
      </c>
      <c r="C61" s="351" t="s">
        <v>98</v>
      </c>
      <c r="D61" s="5"/>
    </row>
    <row r="62" spans="1:8" ht="81.75" customHeight="1" x14ac:dyDescent="0.3">
      <c r="B62" s="80" t="s">
        <v>449</v>
      </c>
      <c r="C62" s="517">
        <f>1-$C$29</f>
        <v>0.35001666650996921</v>
      </c>
      <c r="D62" s="485" t="str">
        <f>CONCATENATE(C27," (dry-basis)/",C27," (wet-basis)")</f>
        <v>tonnes (dry-basis)/tonnes (wet-basis)</v>
      </c>
      <c r="E62" s="598" t="s">
        <v>555</v>
      </c>
      <c r="F62" s="598"/>
    </row>
    <row r="63" spans="1:8" ht="63.9" customHeight="1" x14ac:dyDescent="0.3">
      <c r="B63" s="352" t="str">
        <f>CONCATENATE("Conversion factor from ",C27, " to MJ")</f>
        <v>Conversion factor from tonnes to MJ</v>
      </c>
      <c r="C63" s="518">
        <f>C21*'ECCC Parameters'!C7</f>
        <v>21750</v>
      </c>
      <c r="D63" s="353" t="str">
        <f>CONCATENATE("MJ / ",C27)</f>
        <v>MJ / tonnes</v>
      </c>
      <c r="E63" s="680" t="s">
        <v>556</v>
      </c>
      <c r="F63" s="680"/>
    </row>
    <row r="65" spans="1:6" s="6" customFormat="1" x14ac:dyDescent="0.3">
      <c r="A65" s="6" t="s">
        <v>488</v>
      </c>
      <c r="D65" s="20"/>
    </row>
    <row r="68" spans="1:6" ht="21" customHeight="1" x14ac:dyDescent="0.3">
      <c r="B68" s="138" t="s">
        <v>532</v>
      </c>
      <c r="C68" s="253" t="str">
        <f>IF(C13="Select co-product","",C13)</f>
        <v>Animal feeds</v>
      </c>
      <c r="D68" s="675" t="s">
        <v>557</v>
      </c>
      <c r="E68" s="675"/>
      <c r="F68" s="675"/>
    </row>
    <row r="69" spans="1:6" ht="21" customHeight="1" x14ac:dyDescent="0.3">
      <c r="B69" s="76" t="s">
        <v>558</v>
      </c>
      <c r="C69" s="484">
        <f>IF(C28="Dry basis",G57*C63,G57*C63*C62)</f>
        <v>648585440.87249994</v>
      </c>
      <c r="D69" s="675"/>
      <c r="E69" s="675"/>
      <c r="F69" s="675"/>
    </row>
    <row r="70" spans="1:6" ht="21" customHeight="1" x14ac:dyDescent="0.3">
      <c r="B70" s="138" t="s">
        <v>127</v>
      </c>
      <c r="C70" s="254" t="s">
        <v>98</v>
      </c>
      <c r="D70" s="675"/>
      <c r="E70" s="675"/>
      <c r="F70" s="675"/>
    </row>
    <row r="72" spans="1:6" x14ac:dyDescent="0.3">
      <c r="B72" s="274" t="s">
        <v>456</v>
      </c>
    </row>
  </sheetData>
  <customSheetViews>
    <customSheetView guid="{A8E9A491-4491-4848-9959-58297999E6F5}" showGridLines="0" topLeftCell="A16">
      <selection activeCell="D59" sqref="D59"/>
      <pageMargins left="0" right="0" top="0" bottom="0" header="0" footer="0"/>
      <pageSetup orientation="portrait" r:id="rId1"/>
    </customSheetView>
    <customSheetView guid="{CBE97499-8DE4-4834-9D9F-4D852DB24A20}" showGridLines="0" topLeftCell="A53">
      <selection activeCell="C66" sqref="C66"/>
      <pageMargins left="0" right="0" top="0" bottom="0" header="0" footer="0"/>
      <pageSetup orientation="portrait" r:id="rId2"/>
    </customSheetView>
    <customSheetView guid="{BAC701C4-B534-4ABA-907B-FE30A3505B8B}" showGridLines="0" topLeftCell="A43">
      <selection activeCell="D59" sqref="D59"/>
      <pageMargins left="0" right="0" top="0" bottom="0" header="0" footer="0"/>
      <pageSetup orientation="portrait" r:id="rId3"/>
    </customSheetView>
    <customSheetView guid="{3F555A8F-379C-4D2D-833A-FF346FE5F044}" showGridLines="0" topLeftCell="A53">
      <selection activeCell="C66" sqref="C66"/>
      <pageMargins left="0" right="0" top="0" bottom="0" header="0" footer="0"/>
      <pageSetup orientation="portrait" r:id="rId4"/>
    </customSheetView>
    <customSheetView guid="{61CEA325-629A-4670-A66B-4314E031BBF1}" showGridLines="0" topLeftCell="A16">
      <selection activeCell="D59" sqref="D59"/>
      <pageMargins left="0" right="0" top="0" bottom="0" header="0" footer="0"/>
      <pageSetup orientation="portrait" r:id="rId5"/>
    </customSheetView>
  </customSheetViews>
  <mergeCells count="10">
    <mergeCell ref="B32:F32"/>
    <mergeCell ref="D68:F70"/>
    <mergeCell ref="E21:F21"/>
    <mergeCell ref="E22:F22"/>
    <mergeCell ref="D12:E12"/>
    <mergeCell ref="D13:E13"/>
    <mergeCell ref="D27:E27"/>
    <mergeCell ref="D29:E29"/>
    <mergeCell ref="E63:F63"/>
    <mergeCell ref="E62:F62"/>
  </mergeCells>
  <hyperlinks>
    <hyperlink ref="B72" location="Allocation!A1" display="Allocation!A1" xr:uid="{00000000-0004-0000-0800-000000000000}"/>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5EB36A3A-AC29-4BF9-8CDC-9DD71219E1FA}">
          <x14:formula1>
            <xm:f>Lists!$I$5:$I$7</xm:f>
          </x14:formula1>
          <xm:sqref>C28</xm:sqref>
        </x14:dataValidation>
        <x14:dataValidation type="list" allowBlank="1" showInputMessage="1" showErrorMessage="1" xr:uid="{00000000-0002-0000-0800-000000000000}">
          <x14:formula1>
            <xm:f>Lists!$AC$5:$AC$17</xm:f>
          </x14:formula1>
          <xm:sqref>C12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973D-48AA-4275-AD82-17B1D29A134B}">
  <sheetPr>
    <tabColor theme="9"/>
  </sheetPr>
  <dimension ref="A1:N72"/>
  <sheetViews>
    <sheetView showGridLines="0" topLeftCell="A27" zoomScale="85" zoomScaleNormal="85" workbookViewId="0">
      <selection activeCell="C41" sqref="C41"/>
    </sheetView>
  </sheetViews>
  <sheetFormatPr defaultColWidth="11.44140625" defaultRowHeight="14.4" x14ac:dyDescent="0.3"/>
  <cols>
    <col min="1" max="1" width="6.44140625" style="5" customWidth="1"/>
    <col min="2" max="2" width="40.109375" style="5" customWidth="1"/>
    <col min="3" max="3" width="37.6640625" style="5" customWidth="1"/>
    <col min="4" max="4" width="36.44140625" style="21" customWidth="1"/>
    <col min="5" max="7" width="37.6640625" style="5" customWidth="1"/>
    <col min="8" max="8" width="12.88671875" style="5" customWidth="1"/>
    <col min="9" max="16384" width="11.44140625" style="5"/>
  </cols>
  <sheetData>
    <row r="1" spans="1:14" x14ac:dyDescent="0.3">
      <c r="A1" s="347"/>
    </row>
    <row r="2" spans="1:14" x14ac:dyDescent="0.3">
      <c r="A2" s="96" t="s">
        <v>523</v>
      </c>
      <c r="D2" s="11"/>
    </row>
    <row r="3" spans="1:14" x14ac:dyDescent="0.3">
      <c r="A3" s="66" t="s">
        <v>524</v>
      </c>
      <c r="D3" s="11"/>
    </row>
    <row r="4" spans="1:14" x14ac:dyDescent="0.3">
      <c r="A4" s="66" t="s">
        <v>525</v>
      </c>
      <c r="D4" s="11"/>
    </row>
    <row r="5" spans="1:14" x14ac:dyDescent="0.3">
      <c r="A5" s="66" t="s">
        <v>526</v>
      </c>
      <c r="D5" s="11"/>
    </row>
    <row r="6" spans="1:14" x14ac:dyDescent="0.3">
      <c r="A6" s="66" t="s">
        <v>527</v>
      </c>
      <c r="D6" s="11"/>
    </row>
    <row r="7" spans="1:14" x14ac:dyDescent="0.3">
      <c r="B7" s="64"/>
      <c r="D7" s="11"/>
    </row>
    <row r="8" spans="1:14" s="6" customFormat="1" x14ac:dyDescent="0.3">
      <c r="A8" s="6" t="s">
        <v>356</v>
      </c>
    </row>
    <row r="9" spans="1:14" x14ac:dyDescent="0.3">
      <c r="D9" s="11"/>
    </row>
    <row r="10" spans="1:14" s="75" customFormat="1" x14ac:dyDescent="0.3">
      <c r="A10" s="75" t="s">
        <v>528</v>
      </c>
    </row>
    <row r="11" spans="1:14" s="32" customFormat="1" x14ac:dyDescent="0.3"/>
    <row r="12" spans="1:14" ht="43.5" customHeight="1" x14ac:dyDescent="0.3">
      <c r="B12" s="80" t="s">
        <v>529</v>
      </c>
      <c r="C12" s="24" t="s">
        <v>530</v>
      </c>
      <c r="D12" s="676" t="s">
        <v>531</v>
      </c>
      <c r="E12" s="677"/>
    </row>
    <row r="13" spans="1:14" x14ac:dyDescent="0.3">
      <c r="B13" s="80" t="s">
        <v>532</v>
      </c>
      <c r="C13" s="114" t="str">
        <f>IF(C12="New co-product", C17, IF(C12="Select Co-product","",C12))</f>
        <v>Animal feeds</v>
      </c>
      <c r="D13" s="678" t="s">
        <v>464</v>
      </c>
      <c r="E13" s="679"/>
    </row>
    <row r="14" spans="1:14" customFormat="1" x14ac:dyDescent="0.3">
      <c r="B14" s="49" t="s">
        <v>27</v>
      </c>
      <c r="C14" s="48" t="s">
        <v>559</v>
      </c>
    </row>
    <row r="16" spans="1:14" x14ac:dyDescent="0.3">
      <c r="B16" s="25" t="s">
        <v>534</v>
      </c>
      <c r="D16" s="23"/>
      <c r="F16" s="21"/>
      <c r="N16" s="19"/>
    </row>
    <row r="17" spans="1:14" x14ac:dyDescent="0.3">
      <c r="B17" s="80" t="s">
        <v>535</v>
      </c>
      <c r="C17" s="24"/>
      <c r="D17" s="23"/>
      <c r="F17" s="21"/>
      <c r="N17" s="19"/>
    </row>
    <row r="18" spans="1:14" x14ac:dyDescent="0.3">
      <c r="B18" s="80" t="s">
        <v>536</v>
      </c>
      <c r="C18" s="24"/>
      <c r="D18" s="23"/>
      <c r="F18" s="21"/>
      <c r="N18" s="19"/>
    </row>
    <row r="19" spans="1:14" x14ac:dyDescent="0.3">
      <c r="D19" s="5"/>
    </row>
    <row r="20" spans="1:14" s="75" customFormat="1" x14ac:dyDescent="0.3">
      <c r="A20" s="75" t="s">
        <v>537</v>
      </c>
    </row>
    <row r="21" spans="1:14" ht="33" customHeight="1" x14ac:dyDescent="0.3">
      <c r="B21" s="80" t="s">
        <v>538</v>
      </c>
      <c r="C21" s="523">
        <f>'ECCC Parameters'!C82</f>
        <v>21.75</v>
      </c>
      <c r="D21" s="84" t="s">
        <v>470</v>
      </c>
      <c r="E21" s="676" t="s">
        <v>539</v>
      </c>
      <c r="F21" s="677"/>
    </row>
    <row r="22" spans="1:14" ht="33" customHeight="1" x14ac:dyDescent="0.3">
      <c r="B22" s="80" t="s">
        <v>540</v>
      </c>
      <c r="C22" s="9" t="str">
        <f>'ECCC Parameters'!D82</f>
        <v>N/A</v>
      </c>
      <c r="D22" s="84" t="s">
        <v>302</v>
      </c>
      <c r="E22" s="676" t="s">
        <v>541</v>
      </c>
      <c r="F22" s="677"/>
    </row>
    <row r="23" spans="1:14" x14ac:dyDescent="0.3">
      <c r="D23" s="5"/>
    </row>
    <row r="25" spans="1:14" s="6" customFormat="1" x14ac:dyDescent="0.3">
      <c r="A25" s="6" t="s">
        <v>542</v>
      </c>
    </row>
    <row r="26" spans="1:14" x14ac:dyDescent="0.3">
      <c r="D26" s="5"/>
    </row>
    <row r="27" spans="1:14" ht="28.8" x14ac:dyDescent="0.3">
      <c r="B27" s="80" t="s">
        <v>543</v>
      </c>
      <c r="C27" s="10" t="s">
        <v>406</v>
      </c>
      <c r="D27" s="597" t="s">
        <v>544</v>
      </c>
      <c r="E27" s="597"/>
    </row>
    <row r="28" spans="1:14" x14ac:dyDescent="0.3">
      <c r="B28" s="80" t="s">
        <v>408</v>
      </c>
      <c r="C28" s="10" t="s">
        <v>409</v>
      </c>
      <c r="D28" s="99"/>
      <c r="E28" s="99"/>
    </row>
    <row r="29" spans="1:14" ht="78" customHeight="1" x14ac:dyDescent="0.3">
      <c r="B29" s="80" t="s">
        <v>545</v>
      </c>
      <c r="C29" s="249">
        <f>'Side Calc. - DDGS'!C32</f>
        <v>0.10998333312191787</v>
      </c>
      <c r="D29" s="598" t="s">
        <v>546</v>
      </c>
      <c r="E29" s="598"/>
    </row>
    <row r="30" spans="1:14" x14ac:dyDescent="0.3">
      <c r="D30" s="5"/>
    </row>
    <row r="31" spans="1:14" ht="28.8" x14ac:dyDescent="0.3">
      <c r="B31" s="76" t="s">
        <v>412</v>
      </c>
      <c r="C31" s="76" t="s">
        <v>547</v>
      </c>
      <c r="D31" s="76" t="s">
        <v>548</v>
      </c>
      <c r="E31" s="76" t="s">
        <v>549</v>
      </c>
      <c r="F31" s="76" t="s">
        <v>550</v>
      </c>
      <c r="G31" s="76" t="s">
        <v>551</v>
      </c>
      <c r="H31" s="122" t="s">
        <v>127</v>
      </c>
    </row>
    <row r="32" spans="1:14" x14ac:dyDescent="0.3">
      <c r="B32" s="672" t="s">
        <v>417</v>
      </c>
      <c r="C32" s="673"/>
      <c r="D32" s="673"/>
      <c r="E32" s="673"/>
      <c r="F32" s="674"/>
      <c r="G32" s="86"/>
      <c r="H32" s="355"/>
    </row>
    <row r="33" spans="2:8" x14ac:dyDescent="0.3">
      <c r="B33" s="214" t="s">
        <v>418</v>
      </c>
      <c r="C33" s="215">
        <v>0</v>
      </c>
      <c r="D33" s="215">
        <v>5003.3130000000001</v>
      </c>
      <c r="E33" s="215">
        <v>0</v>
      </c>
      <c r="F33" s="215">
        <v>0</v>
      </c>
      <c r="G33" s="238">
        <f>E33-C33+D33-F33</f>
        <v>5003.3130000000001</v>
      </c>
      <c r="H33" s="61" t="str">
        <f t="shared" ref="H33:H57" si="0">IF($C$27="Unit","",$C$27)</f>
        <v>tonnes</v>
      </c>
    </row>
    <row r="34" spans="2:8" x14ac:dyDescent="0.3">
      <c r="B34" s="214" t="s">
        <v>419</v>
      </c>
      <c r="C34" s="215">
        <v>0</v>
      </c>
      <c r="D34" s="217">
        <v>5297.625</v>
      </c>
      <c r="E34" s="215">
        <v>0</v>
      </c>
      <c r="F34" s="215">
        <v>0</v>
      </c>
      <c r="G34" s="238">
        <f t="shared" ref="G34:G55" si="1">E34-C34+D34-F34</f>
        <v>5297.625</v>
      </c>
      <c r="H34" s="61" t="str">
        <f t="shared" si="0"/>
        <v>tonnes</v>
      </c>
    </row>
    <row r="35" spans="2:8" x14ac:dyDescent="0.3">
      <c r="B35" s="214" t="s">
        <v>420</v>
      </c>
      <c r="C35" s="215">
        <v>0</v>
      </c>
      <c r="D35" s="217">
        <v>5709.6629999999996</v>
      </c>
      <c r="E35" s="215">
        <v>0</v>
      </c>
      <c r="F35" s="215">
        <v>0</v>
      </c>
      <c r="G35" s="238">
        <f t="shared" si="1"/>
        <v>5709.6629999999996</v>
      </c>
      <c r="H35" s="61" t="str">
        <f t="shared" si="0"/>
        <v>tonnes</v>
      </c>
    </row>
    <row r="36" spans="2:8" x14ac:dyDescent="0.3">
      <c r="B36" s="214" t="s">
        <v>421</v>
      </c>
      <c r="C36" s="215">
        <v>0</v>
      </c>
      <c r="D36" s="217">
        <v>5827.3879999999999</v>
      </c>
      <c r="E36" s="215">
        <v>0</v>
      </c>
      <c r="F36" s="215">
        <v>0</v>
      </c>
      <c r="G36" s="238">
        <f t="shared" si="1"/>
        <v>5827.3879999999999</v>
      </c>
      <c r="H36" s="61" t="str">
        <f t="shared" si="0"/>
        <v>tonnes</v>
      </c>
    </row>
    <row r="37" spans="2:8" x14ac:dyDescent="0.3">
      <c r="B37" s="214" t="s">
        <v>422</v>
      </c>
      <c r="C37" s="215">
        <v>0</v>
      </c>
      <c r="D37" s="217">
        <v>5121.0379999999996</v>
      </c>
      <c r="E37" s="215">
        <v>0</v>
      </c>
      <c r="F37" s="215">
        <v>0</v>
      </c>
      <c r="G37" s="238">
        <f t="shared" si="1"/>
        <v>5121.0379999999996</v>
      </c>
      <c r="H37" s="61" t="str">
        <f t="shared" si="0"/>
        <v>tonnes</v>
      </c>
    </row>
    <row r="38" spans="2:8" x14ac:dyDescent="0.3">
      <c r="B38" s="214" t="s">
        <v>423</v>
      </c>
      <c r="C38" s="215">
        <v>0</v>
      </c>
      <c r="D38" s="217">
        <v>5062.1750000000002</v>
      </c>
      <c r="E38" s="215">
        <v>0</v>
      </c>
      <c r="F38" s="215">
        <v>0</v>
      </c>
      <c r="G38" s="238">
        <f t="shared" si="1"/>
        <v>5062.1750000000002</v>
      </c>
      <c r="H38" s="61" t="str">
        <f t="shared" si="0"/>
        <v>tonnes</v>
      </c>
    </row>
    <row r="39" spans="2:8" x14ac:dyDescent="0.3">
      <c r="B39" s="214" t="s">
        <v>424</v>
      </c>
      <c r="C39" s="215">
        <v>0</v>
      </c>
      <c r="D39" s="217">
        <v>5474.2129999999997</v>
      </c>
      <c r="E39" s="215">
        <v>0</v>
      </c>
      <c r="F39" s="215">
        <v>0</v>
      </c>
      <c r="G39" s="238">
        <f t="shared" si="1"/>
        <v>5474.2129999999997</v>
      </c>
      <c r="H39" s="61" t="str">
        <f t="shared" si="0"/>
        <v>tonnes</v>
      </c>
    </row>
    <row r="40" spans="2:8" x14ac:dyDescent="0.3">
      <c r="B40" s="214" t="s">
        <v>425</v>
      </c>
      <c r="C40" s="215">
        <v>0</v>
      </c>
      <c r="D40" s="217">
        <v>5591.9380000000001</v>
      </c>
      <c r="E40" s="215">
        <v>0</v>
      </c>
      <c r="F40" s="215">
        <v>0</v>
      </c>
      <c r="G40" s="238">
        <f t="shared" si="1"/>
        <v>5591.9380000000001</v>
      </c>
      <c r="H40" s="61" t="str">
        <f t="shared" si="0"/>
        <v>tonnes</v>
      </c>
    </row>
    <row r="41" spans="2:8" x14ac:dyDescent="0.3">
      <c r="B41" s="214" t="s">
        <v>426</v>
      </c>
      <c r="C41" s="215">
        <v>0</v>
      </c>
      <c r="D41" s="217">
        <v>5356.4880000000003</v>
      </c>
      <c r="E41" s="215">
        <v>0</v>
      </c>
      <c r="F41" s="215">
        <v>0</v>
      </c>
      <c r="G41" s="238">
        <f t="shared" si="1"/>
        <v>5356.4880000000003</v>
      </c>
      <c r="H41" s="61" t="str">
        <f t="shared" si="0"/>
        <v>tonnes</v>
      </c>
    </row>
    <row r="42" spans="2:8" x14ac:dyDescent="0.3">
      <c r="B42" s="214" t="s">
        <v>427</v>
      </c>
      <c r="C42" s="215">
        <v>0</v>
      </c>
      <c r="D42" s="217">
        <v>5238.7629999999999</v>
      </c>
      <c r="E42" s="215">
        <v>0</v>
      </c>
      <c r="F42" s="215">
        <v>0</v>
      </c>
      <c r="G42" s="238">
        <f t="shared" si="1"/>
        <v>5238.7629999999999</v>
      </c>
      <c r="H42" s="61" t="str">
        <f t="shared" si="0"/>
        <v>tonnes</v>
      </c>
    </row>
    <row r="43" spans="2:8" x14ac:dyDescent="0.3">
      <c r="B43" s="214" t="s">
        <v>428</v>
      </c>
      <c r="C43" s="215">
        <v>0</v>
      </c>
      <c r="D43" s="217">
        <v>5768.5249999999996</v>
      </c>
      <c r="E43" s="215">
        <v>0</v>
      </c>
      <c r="F43" s="215">
        <v>0</v>
      </c>
      <c r="G43" s="238">
        <f t="shared" si="1"/>
        <v>5768.5249999999996</v>
      </c>
      <c r="H43" s="61" t="str">
        <f t="shared" si="0"/>
        <v>tonnes</v>
      </c>
    </row>
    <row r="44" spans="2:8" x14ac:dyDescent="0.3">
      <c r="B44" s="214" t="s">
        <v>429</v>
      </c>
      <c r="C44" s="215">
        <v>0</v>
      </c>
      <c r="D44" s="217">
        <v>5415.35</v>
      </c>
      <c r="E44" s="215">
        <v>0</v>
      </c>
      <c r="F44" s="215">
        <v>0</v>
      </c>
      <c r="G44" s="238">
        <f t="shared" si="1"/>
        <v>5415.35</v>
      </c>
      <c r="H44" s="61" t="str">
        <f t="shared" si="0"/>
        <v>tonnes</v>
      </c>
    </row>
    <row r="45" spans="2:8" x14ac:dyDescent="0.3">
      <c r="B45" s="214" t="s">
        <v>430</v>
      </c>
      <c r="C45" s="215">
        <v>0</v>
      </c>
      <c r="D45" s="217">
        <v>6769.1880000000001</v>
      </c>
      <c r="E45" s="215">
        <v>0</v>
      </c>
      <c r="F45" s="215">
        <v>0</v>
      </c>
      <c r="G45" s="238">
        <f t="shared" si="1"/>
        <v>6769.1880000000001</v>
      </c>
      <c r="H45" s="61" t="str">
        <f t="shared" si="0"/>
        <v>tonnes</v>
      </c>
    </row>
    <row r="46" spans="2:8" x14ac:dyDescent="0.3">
      <c r="B46" s="214" t="s">
        <v>431</v>
      </c>
      <c r="C46" s="215">
        <v>0</v>
      </c>
      <c r="D46" s="217">
        <v>6474.8750000000009</v>
      </c>
      <c r="E46" s="215">
        <v>0</v>
      </c>
      <c r="F46" s="215">
        <v>0</v>
      </c>
      <c r="G46" s="238">
        <f t="shared" si="1"/>
        <v>6474.8750000000009</v>
      </c>
      <c r="H46" s="61" t="str">
        <f t="shared" si="0"/>
        <v>tonnes</v>
      </c>
    </row>
    <row r="47" spans="2:8" x14ac:dyDescent="0.3">
      <c r="B47" s="214" t="s">
        <v>432</v>
      </c>
      <c r="C47" s="215">
        <v>0</v>
      </c>
      <c r="D47" s="217">
        <v>6062.8379999999997</v>
      </c>
      <c r="E47" s="215">
        <v>0</v>
      </c>
      <c r="F47" s="215">
        <v>0</v>
      </c>
      <c r="G47" s="238">
        <f t="shared" si="1"/>
        <v>6062.8379999999997</v>
      </c>
      <c r="H47" s="61" t="str">
        <f t="shared" si="0"/>
        <v>tonnes</v>
      </c>
    </row>
    <row r="48" spans="2:8" x14ac:dyDescent="0.3">
      <c r="B48" s="214" t="s">
        <v>433</v>
      </c>
      <c r="C48" s="215">
        <v>0</v>
      </c>
      <c r="D48" s="217">
        <v>5945.1130000000003</v>
      </c>
      <c r="E48" s="215">
        <v>0</v>
      </c>
      <c r="F48" s="215">
        <v>0</v>
      </c>
      <c r="G48" s="238">
        <f t="shared" si="1"/>
        <v>5945.1130000000003</v>
      </c>
      <c r="H48" s="61" t="str">
        <f t="shared" si="0"/>
        <v>tonnes</v>
      </c>
    </row>
    <row r="49" spans="1:8" x14ac:dyDescent="0.3">
      <c r="B49" s="214" t="s">
        <v>434</v>
      </c>
      <c r="C49" s="215">
        <v>0</v>
      </c>
      <c r="D49" s="217">
        <v>6651.4629999999997</v>
      </c>
      <c r="E49" s="215">
        <v>0</v>
      </c>
      <c r="F49" s="215">
        <v>0</v>
      </c>
      <c r="G49" s="238">
        <f t="shared" si="1"/>
        <v>6651.4629999999997</v>
      </c>
      <c r="H49" s="61" t="str">
        <f t="shared" si="0"/>
        <v>tonnes</v>
      </c>
    </row>
    <row r="50" spans="1:8" x14ac:dyDescent="0.3">
      <c r="B50" s="214" t="s">
        <v>435</v>
      </c>
      <c r="C50" s="215">
        <v>0</v>
      </c>
      <c r="D50" s="217">
        <v>6710.3250000000007</v>
      </c>
      <c r="E50" s="215">
        <v>0</v>
      </c>
      <c r="F50" s="215">
        <v>0</v>
      </c>
      <c r="G50" s="238">
        <f t="shared" si="1"/>
        <v>6710.3250000000007</v>
      </c>
      <c r="H50" s="61" t="str">
        <f t="shared" si="0"/>
        <v>tonnes</v>
      </c>
    </row>
    <row r="51" spans="1:8" x14ac:dyDescent="0.3">
      <c r="B51" s="214" t="s">
        <v>436</v>
      </c>
      <c r="C51" s="215">
        <v>0</v>
      </c>
      <c r="D51" s="217">
        <v>6298.2879999999996</v>
      </c>
      <c r="E51" s="215">
        <v>0</v>
      </c>
      <c r="F51" s="215">
        <v>0</v>
      </c>
      <c r="G51" s="238">
        <f t="shared" si="1"/>
        <v>6298.2879999999996</v>
      </c>
      <c r="H51" s="61" t="str">
        <f t="shared" si="0"/>
        <v>tonnes</v>
      </c>
    </row>
    <row r="52" spans="1:8" x14ac:dyDescent="0.3">
      <c r="B52" s="214" t="s">
        <v>437</v>
      </c>
      <c r="C52" s="215">
        <v>0</v>
      </c>
      <c r="D52" s="217">
        <v>6180.5630000000001</v>
      </c>
      <c r="E52" s="215">
        <v>0</v>
      </c>
      <c r="F52" s="215">
        <v>0</v>
      </c>
      <c r="G52" s="238">
        <f t="shared" si="1"/>
        <v>6180.5630000000001</v>
      </c>
      <c r="H52" s="61" t="str">
        <f t="shared" si="0"/>
        <v>tonnes</v>
      </c>
    </row>
    <row r="53" spans="1:8" x14ac:dyDescent="0.3">
      <c r="B53" s="214" t="s">
        <v>438</v>
      </c>
      <c r="C53" s="215">
        <v>0</v>
      </c>
      <c r="D53" s="217">
        <v>6416.0129999999999</v>
      </c>
      <c r="E53" s="215">
        <v>0</v>
      </c>
      <c r="F53" s="215">
        <v>0</v>
      </c>
      <c r="G53" s="238">
        <f t="shared" si="1"/>
        <v>6416.0129999999999</v>
      </c>
      <c r="H53" s="61" t="str">
        <f t="shared" si="0"/>
        <v>tonnes</v>
      </c>
    </row>
    <row r="54" spans="1:8" x14ac:dyDescent="0.3">
      <c r="B54" s="214" t="s">
        <v>439</v>
      </c>
      <c r="C54" s="215">
        <v>0</v>
      </c>
      <c r="D54" s="217">
        <v>6533.7380000000003</v>
      </c>
      <c r="E54" s="215">
        <v>0</v>
      </c>
      <c r="F54" s="215">
        <v>0</v>
      </c>
      <c r="G54" s="238">
        <f t="shared" si="1"/>
        <v>6533.7380000000003</v>
      </c>
      <c r="H54" s="61" t="str">
        <f t="shared" si="0"/>
        <v>tonnes</v>
      </c>
    </row>
    <row r="55" spans="1:8" x14ac:dyDescent="0.3">
      <c r="B55" s="214" t="s">
        <v>440</v>
      </c>
      <c r="C55" s="215">
        <v>0</v>
      </c>
      <c r="D55" s="217">
        <v>6003.9750000000004</v>
      </c>
      <c r="E55" s="215">
        <v>0</v>
      </c>
      <c r="F55" s="215">
        <v>0</v>
      </c>
      <c r="G55" s="238">
        <f t="shared" si="1"/>
        <v>6003.9750000000004</v>
      </c>
      <c r="H55" s="61" t="str">
        <f t="shared" si="0"/>
        <v>tonnes</v>
      </c>
    </row>
    <row r="56" spans="1:8" x14ac:dyDescent="0.3">
      <c r="B56" s="214" t="s">
        <v>441</v>
      </c>
      <c r="C56" s="215">
        <v>0</v>
      </c>
      <c r="D56" s="217">
        <v>6357.1500000000005</v>
      </c>
      <c r="E56" s="215">
        <v>0</v>
      </c>
      <c r="F56" s="215">
        <v>0</v>
      </c>
      <c r="G56" s="238">
        <f>E56-C56+D56-F56</f>
        <v>6357.1500000000005</v>
      </c>
      <c r="H56" s="61" t="str">
        <f t="shared" si="0"/>
        <v>tonnes</v>
      </c>
    </row>
    <row r="57" spans="1:8" x14ac:dyDescent="0.3">
      <c r="C57" s="15"/>
      <c r="D57" s="5"/>
      <c r="E57" s="15"/>
      <c r="F57" s="102" t="s">
        <v>552</v>
      </c>
      <c r="G57" s="283">
        <f>SUM(G33:G56)</f>
        <v>141270.00799999997</v>
      </c>
      <c r="H57" s="202" t="str">
        <f t="shared" si="0"/>
        <v>tonnes</v>
      </c>
    </row>
    <row r="59" spans="1:8" s="6" customFormat="1" x14ac:dyDescent="0.3">
      <c r="A59" s="6" t="s">
        <v>553</v>
      </c>
    </row>
    <row r="60" spans="1:8" s="15" customFormat="1" x14ac:dyDescent="0.3">
      <c r="B60" s="17"/>
      <c r="D60" s="5"/>
    </row>
    <row r="61" spans="1:8" ht="39.75" customHeight="1" x14ac:dyDescent="0.3">
      <c r="B61" s="350" t="s">
        <v>554</v>
      </c>
      <c r="C61" s="351" t="s">
        <v>98</v>
      </c>
      <c r="D61" s="5"/>
    </row>
    <row r="62" spans="1:8" ht="81.75" customHeight="1" x14ac:dyDescent="0.3">
      <c r="B62" s="80" t="s">
        <v>449</v>
      </c>
      <c r="C62" s="199">
        <f>1-$C$29</f>
        <v>0.89001666687808212</v>
      </c>
      <c r="D62" s="485" t="str">
        <f>CONCATENATE(C27," (dry-basis)/",C27," (wet-basis)")</f>
        <v>tonnes (dry-basis)/tonnes (wet-basis)</v>
      </c>
      <c r="E62" s="598" t="s">
        <v>555</v>
      </c>
      <c r="F62" s="598"/>
    </row>
    <row r="63" spans="1:8" ht="63.9" customHeight="1" x14ac:dyDescent="0.3">
      <c r="B63" s="352" t="str">
        <f>CONCATENATE("Conversion factor from ",C27, " to MJ")</f>
        <v>Conversion factor from tonnes to MJ</v>
      </c>
      <c r="C63" s="354">
        <f>C21*'ECCC Parameters'!C7</f>
        <v>21750</v>
      </c>
      <c r="D63" s="353" t="str">
        <f>CONCATENATE("MJ / ",C27)</f>
        <v>MJ / tonnes</v>
      </c>
      <c r="E63" s="680" t="s">
        <v>556</v>
      </c>
      <c r="F63" s="680"/>
    </row>
    <row r="65" spans="1:6" s="6" customFormat="1" x14ac:dyDescent="0.3">
      <c r="A65" s="6" t="s">
        <v>488</v>
      </c>
      <c r="D65" s="20"/>
    </row>
    <row r="68" spans="1:6" ht="21" customHeight="1" x14ac:dyDescent="0.3">
      <c r="B68" s="138" t="s">
        <v>532</v>
      </c>
      <c r="C68" s="253" t="str">
        <f>IF(C13="Select co-product","",C13)</f>
        <v>Animal feeds</v>
      </c>
      <c r="D68" s="675" t="s">
        <v>557</v>
      </c>
      <c r="E68" s="675"/>
      <c r="F68" s="675"/>
    </row>
    <row r="69" spans="1:6" ht="21" customHeight="1" x14ac:dyDescent="0.3">
      <c r="B69" s="76" t="s">
        <v>558</v>
      </c>
      <c r="C69" s="484">
        <f>IF(C28="Dry basis",G57*C63,G57*C63*C62)</f>
        <v>2734685390.8874993</v>
      </c>
      <c r="D69" s="675"/>
      <c r="E69" s="675"/>
      <c r="F69" s="675"/>
    </row>
    <row r="70" spans="1:6" ht="21" customHeight="1" x14ac:dyDescent="0.3">
      <c r="B70" s="138" t="s">
        <v>127</v>
      </c>
      <c r="C70" s="254" t="s">
        <v>98</v>
      </c>
      <c r="D70" s="675"/>
      <c r="E70" s="675"/>
      <c r="F70" s="675"/>
    </row>
    <row r="72" spans="1:6" x14ac:dyDescent="0.3">
      <c r="B72" s="274" t="s">
        <v>456</v>
      </c>
    </row>
  </sheetData>
  <mergeCells count="10">
    <mergeCell ref="B32:F32"/>
    <mergeCell ref="E62:F62"/>
    <mergeCell ref="E63:F63"/>
    <mergeCell ref="D68:F70"/>
    <mergeCell ref="D12:E12"/>
    <mergeCell ref="D13:E13"/>
    <mergeCell ref="E21:F21"/>
    <mergeCell ref="E22:F22"/>
    <mergeCell ref="D27:E27"/>
    <mergeCell ref="D29:E29"/>
  </mergeCells>
  <hyperlinks>
    <hyperlink ref="B72" location="Allocation!A1" display="Allocation!A1" xr:uid="{9CEA0A21-20EA-4835-AB88-319BC47A1B35}"/>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A4E3D04-DF89-472F-B675-FC193046856D}">
          <x14:formula1>
            <xm:f>Lists!$AC$5:$AC$17</xm:f>
          </x14:formula1>
          <xm:sqref>C12</xm:sqref>
        </x14:dataValidation>
        <x14:dataValidation type="list" allowBlank="1" showInputMessage="1" showErrorMessage="1" xr:uid="{E906F25F-F391-4DD7-BAC7-BBAD4050E031}">
          <x14:formula1>
            <xm:f>Lists!$I$5:$I$7</xm:f>
          </x14:formula1>
          <xm:sqref>C28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9"/>
  </sheetPr>
  <dimension ref="A1:S56"/>
  <sheetViews>
    <sheetView showGridLines="0" topLeftCell="A8" zoomScale="115" zoomScaleNormal="115" workbookViewId="0">
      <selection activeCell="I27" sqref="I27"/>
    </sheetView>
  </sheetViews>
  <sheetFormatPr defaultColWidth="8.6640625" defaultRowHeight="14.4" x14ac:dyDescent="0.3"/>
  <cols>
    <col min="1" max="1" width="4.88671875" style="5" customWidth="1"/>
    <col min="2" max="2" width="47.6640625" style="5" customWidth="1"/>
    <col min="3" max="3" width="34" style="5" bestFit="1" customWidth="1"/>
    <col min="4" max="4" width="35" style="5" customWidth="1"/>
    <col min="5" max="5" width="49.44140625" style="5" bestFit="1" customWidth="1"/>
    <col min="6" max="6" width="35" style="5" customWidth="1"/>
    <col min="7" max="7" width="32.88671875" style="5" customWidth="1"/>
    <col min="8" max="8" width="23.88671875" style="5" customWidth="1"/>
    <col min="9" max="12" width="8.6640625" style="5"/>
    <col min="13" max="13" width="57.44140625" style="5" customWidth="1"/>
    <col min="14" max="14" width="22.109375" style="5" customWidth="1"/>
    <col min="15" max="15" width="27.6640625" style="5" bestFit="1" customWidth="1"/>
    <col min="16" max="17" width="37.88671875" style="5" bestFit="1" customWidth="1"/>
    <col min="18" max="18" width="25.88671875" style="5" customWidth="1"/>
    <col min="19" max="19" width="31" style="5" customWidth="1"/>
    <col min="20" max="16384" width="8.6640625" style="5"/>
  </cols>
  <sheetData>
    <row r="1" spans="1:19" x14ac:dyDescent="0.3">
      <c r="A1" s="347"/>
    </row>
    <row r="2" spans="1:19" customFormat="1" ht="15" customHeight="1" x14ac:dyDescent="0.3">
      <c r="A2" s="153" t="s">
        <v>560</v>
      </c>
    </row>
    <row r="3" spans="1:19" x14ac:dyDescent="0.3">
      <c r="A3" s="96" t="s">
        <v>523</v>
      </c>
      <c r="D3" s="11"/>
    </row>
    <row r="4" spans="1:19" customFormat="1" ht="15" customHeight="1" x14ac:dyDescent="0.3">
      <c r="A4" s="153" t="s">
        <v>561</v>
      </c>
    </row>
    <row r="5" spans="1:19" customFormat="1" ht="15" customHeight="1" x14ac:dyDescent="0.3">
      <c r="A5" s="66" t="s">
        <v>494</v>
      </c>
    </row>
    <row r="7" spans="1:19" s="126" customFormat="1" x14ac:dyDescent="0.3">
      <c r="A7" s="6" t="s">
        <v>562</v>
      </c>
      <c r="B7" s="6"/>
      <c r="C7" s="6"/>
      <c r="D7" s="6"/>
      <c r="E7" s="6"/>
    </row>
    <row r="9" spans="1:19" x14ac:dyDescent="0.3">
      <c r="B9" s="83" t="s">
        <v>532</v>
      </c>
      <c r="C9" s="30" t="s">
        <v>563</v>
      </c>
      <c r="D9" s="598" t="s">
        <v>564</v>
      </c>
      <c r="E9" s="598"/>
    </row>
    <row r="10" spans="1:19" customFormat="1" x14ac:dyDescent="0.3">
      <c r="B10" s="49" t="s">
        <v>27</v>
      </c>
      <c r="C10" s="48"/>
      <c r="I10" s="5"/>
      <c r="J10" s="5"/>
      <c r="K10" s="5"/>
      <c r="L10" s="5"/>
      <c r="M10" s="5"/>
      <c r="N10" s="5"/>
      <c r="O10" s="5"/>
      <c r="P10" s="5"/>
      <c r="Q10" s="5"/>
      <c r="R10" s="5"/>
      <c r="S10" s="5"/>
    </row>
    <row r="12" spans="1:19" x14ac:dyDescent="0.3">
      <c r="B12" s="25" t="s">
        <v>565</v>
      </c>
      <c r="E12" s="27"/>
    </row>
    <row r="13" spans="1:19" ht="28.8" x14ac:dyDescent="0.3">
      <c r="B13" s="97" t="s">
        <v>566</v>
      </c>
      <c r="C13" s="138" t="s">
        <v>123</v>
      </c>
      <c r="D13" s="519" t="str" cm="1">
        <f t="array" ref="D13:D15">TRANSPOSE('Corn (Global)'!B104:D104)</f>
        <v>Corn (Global)</v>
      </c>
      <c r="E13" s="519" t="str" cm="1">
        <f t="array" ref="E13:E15">TRANSPOSE('Wheat (non-durum) (Global)'!B104:D104)</f>
        <v>Wheat (non-durum) (Global)</v>
      </c>
      <c r="F13" s="80" t="s">
        <v>499</v>
      </c>
      <c r="G13" s="260" t="s">
        <v>500</v>
      </c>
      <c r="H13" s="80" t="s">
        <v>442</v>
      </c>
    </row>
    <row r="14" spans="1:19" ht="43.2" x14ac:dyDescent="0.3">
      <c r="B14" s="97" t="s">
        <v>567</v>
      </c>
      <c r="C14" s="76" t="s">
        <v>502</v>
      </c>
      <c r="D14" s="515">
        <v>496999.94899</v>
      </c>
      <c r="E14" s="515">
        <v>90903.769659999991</v>
      </c>
      <c r="F14" s="30"/>
      <c r="G14" s="670" t="s">
        <v>568</v>
      </c>
      <c r="H14" s="98">
        <f>SUM(D14:G14)</f>
        <v>587903.71864999994</v>
      </c>
    </row>
    <row r="15" spans="1:19" ht="57.6" x14ac:dyDescent="0.3">
      <c r="B15" s="97" t="s">
        <v>569</v>
      </c>
      <c r="C15" s="76" t="s">
        <v>127</v>
      </c>
      <c r="D15" s="516" t="str">
        <v>t</v>
      </c>
      <c r="E15" s="516" t="str">
        <v>t</v>
      </c>
      <c r="F15" s="30"/>
      <c r="G15" s="671"/>
      <c r="H15" s="259" t="str">
        <f>'Wheat (non-durum) (Global)'!D104</f>
        <v>t</v>
      </c>
      <c r="I15" s="681"/>
      <c r="J15" s="682"/>
    </row>
    <row r="17" spans="1:7" x14ac:dyDescent="0.3">
      <c r="B17" s="25" t="s">
        <v>570</v>
      </c>
      <c r="C17" s="25"/>
      <c r="D17" s="25"/>
      <c r="E17" s="25"/>
      <c r="F17" s="25"/>
      <c r="G17" s="25"/>
    </row>
    <row r="18" spans="1:7" x14ac:dyDescent="0.3">
      <c r="B18" s="80" t="s">
        <v>571</v>
      </c>
      <c r="C18" s="516">
        <f>'Animal feeds (WDGS)'!C69</f>
        <v>648585440.87249994</v>
      </c>
      <c r="D18" s="77" t="s">
        <v>98</v>
      </c>
    </row>
    <row r="19" spans="1:7" x14ac:dyDescent="0.3">
      <c r="C19" s="3"/>
      <c r="D19" s="3"/>
    </row>
    <row r="20" spans="1:7" x14ac:dyDescent="0.3">
      <c r="C20" s="3"/>
      <c r="D20" s="3"/>
    </row>
    <row r="21" spans="1:7" x14ac:dyDescent="0.3">
      <c r="B21" s="25" t="s">
        <v>572</v>
      </c>
      <c r="C21" s="25"/>
      <c r="D21" s="25"/>
      <c r="E21" s="25"/>
      <c r="F21" s="25"/>
      <c r="G21" s="25"/>
    </row>
    <row r="22" spans="1:7" x14ac:dyDescent="0.3">
      <c r="B22" s="80" t="s">
        <v>573</v>
      </c>
      <c r="C22" s="98">
        <f>IFERROR(C18/H14,"")</f>
        <v>1103.2171090222785</v>
      </c>
      <c r="D22" s="77" t="str">
        <f>CONCATENATE("MJ/",H15)</f>
        <v>MJ/t</v>
      </c>
    </row>
    <row r="23" spans="1:7" x14ac:dyDescent="0.3">
      <c r="C23" s="3"/>
      <c r="D23" s="3"/>
      <c r="E23" s="21"/>
    </row>
    <row r="24" spans="1:7" s="6" customFormat="1" x14ac:dyDescent="0.3">
      <c r="A24" s="6" t="s">
        <v>453</v>
      </c>
      <c r="D24" s="20"/>
    </row>
    <row r="25" spans="1:7" x14ac:dyDescent="0.3">
      <c r="C25" s="3"/>
      <c r="D25" s="3"/>
      <c r="E25" s="21"/>
    </row>
    <row r="26" spans="1:7" x14ac:dyDescent="0.3">
      <c r="B26" s="25" t="s">
        <v>574</v>
      </c>
      <c r="E26" s="62"/>
    </row>
    <row r="27" spans="1:7" ht="14.4" customHeight="1" x14ac:dyDescent="0.3">
      <c r="B27" s="667" t="s">
        <v>575</v>
      </c>
      <c r="C27" s="138" t="s">
        <v>576</v>
      </c>
      <c r="D27" s="271" t="str">
        <f>IF($C$9="","",CONCATENATE($C$9, " from ", D13))</f>
        <v>Animal feeds (WDGS) from Corn (Global)</v>
      </c>
      <c r="E27" s="271" t="str">
        <f>IF($C$9="","",CONCATENATE($C$9, " from ", E13))</f>
        <v>Animal feeds (WDGS) from Wheat (non-durum) (Global)</v>
      </c>
      <c r="F27" s="271" t="str">
        <f>IF($C$9="","",CONCATENATE($C$9, " from ", F13))</f>
        <v>Animal feeds (WDGS) from Feedstock C</v>
      </c>
    </row>
    <row r="28" spans="1:7" x14ac:dyDescent="0.3">
      <c r="B28" s="667"/>
      <c r="C28" s="138" t="s">
        <v>577</v>
      </c>
      <c r="D28" s="511">
        <f>IFERROR($C$22*D14,"")</f>
        <v>548298846.90896761</v>
      </c>
      <c r="E28" s="511">
        <f>IFERROR($C$22*E14,"")</f>
        <v>100286593.9635323</v>
      </c>
      <c r="F28" s="115">
        <f>IFERROR($C$22*F14,"")</f>
        <v>0</v>
      </c>
    </row>
    <row r="29" spans="1:7" x14ac:dyDescent="0.3">
      <c r="B29" s="667"/>
      <c r="C29" s="138" t="s">
        <v>127</v>
      </c>
      <c r="D29" s="123" t="s">
        <v>98</v>
      </c>
      <c r="E29" s="123" t="s">
        <v>98</v>
      </c>
      <c r="F29" s="123" t="s">
        <v>98</v>
      </c>
    </row>
    <row r="30" spans="1:7" x14ac:dyDescent="0.3">
      <c r="C30" s="3"/>
      <c r="D30" s="3"/>
    </row>
    <row r="31" spans="1:7" x14ac:dyDescent="0.3">
      <c r="B31" s="274" t="s">
        <v>456</v>
      </c>
      <c r="C31" s="3"/>
      <c r="D31" s="3"/>
    </row>
    <row r="32" spans="1:7" x14ac:dyDescent="0.3">
      <c r="B32" s="3"/>
      <c r="C32" s="3"/>
      <c r="D32" s="3"/>
    </row>
    <row r="33" spans="1:9" s="126" customFormat="1" x14ac:dyDescent="0.3">
      <c r="A33" s="6" t="s">
        <v>512</v>
      </c>
      <c r="B33" s="6"/>
      <c r="C33" s="6"/>
      <c r="D33" s="6"/>
      <c r="E33" s="6"/>
    </row>
    <row r="34" spans="1:9" x14ac:dyDescent="0.3">
      <c r="A34" s="240" t="s">
        <v>578</v>
      </c>
      <c r="B34" s="226"/>
      <c r="C34" s="226"/>
      <c r="D34" s="226"/>
      <c r="E34" s="226"/>
      <c r="F34" s="226"/>
      <c r="G34" s="226"/>
      <c r="H34" s="226"/>
      <c r="I34" s="226"/>
    </row>
    <row r="35" spans="1:9" x14ac:dyDescent="0.3">
      <c r="A35" s="226"/>
      <c r="B35" s="226"/>
      <c r="C35" s="226"/>
      <c r="D35" s="226"/>
      <c r="E35" s="226"/>
      <c r="F35" s="226"/>
      <c r="G35" s="226"/>
      <c r="H35" s="226"/>
      <c r="I35" s="226"/>
    </row>
    <row r="36" spans="1:9" x14ac:dyDescent="0.3">
      <c r="A36" s="226"/>
      <c r="B36" s="241" t="s">
        <v>532</v>
      </c>
      <c r="C36" s="237" t="s">
        <v>559</v>
      </c>
      <c r="D36" s="226"/>
      <c r="E36" s="226"/>
      <c r="F36" s="226"/>
      <c r="G36" s="226"/>
      <c r="H36" s="226"/>
      <c r="I36" s="226"/>
    </row>
    <row r="37" spans="1:9" x14ac:dyDescent="0.3">
      <c r="A37" s="226"/>
      <c r="B37" s="226"/>
      <c r="C37" s="226"/>
      <c r="D37" s="226"/>
      <c r="E37" s="226"/>
      <c r="F37" s="226"/>
      <c r="G37" s="226"/>
      <c r="H37" s="226"/>
      <c r="I37" s="226"/>
    </row>
    <row r="38" spans="1:9" x14ac:dyDescent="0.3">
      <c r="A38" s="226"/>
      <c r="B38" s="255" t="s">
        <v>515</v>
      </c>
      <c r="C38" s="227" t="s">
        <v>133</v>
      </c>
      <c r="D38" s="227" t="s">
        <v>579</v>
      </c>
      <c r="E38" s="229" t="s">
        <v>580</v>
      </c>
      <c r="F38" s="226"/>
      <c r="G38" s="226"/>
      <c r="H38" s="226"/>
      <c r="I38" s="226"/>
    </row>
    <row r="39" spans="1:9" x14ac:dyDescent="0.3">
      <c r="A39" s="226"/>
      <c r="B39" s="234" t="s">
        <v>502</v>
      </c>
      <c r="C39" s="284">
        <v>30005209</v>
      </c>
      <c r="D39" s="279">
        <v>2760192</v>
      </c>
      <c r="E39" s="280">
        <v>32765401</v>
      </c>
      <c r="F39" s="226"/>
      <c r="G39" s="226"/>
      <c r="H39" s="226"/>
      <c r="I39" s="226"/>
    </row>
    <row r="40" spans="1:9" x14ac:dyDescent="0.3">
      <c r="A40" s="226"/>
      <c r="B40" s="234" t="s">
        <v>127</v>
      </c>
      <c r="C40" s="239" t="s">
        <v>517</v>
      </c>
      <c r="D40" s="237" t="s">
        <v>517</v>
      </c>
      <c r="E40" s="237" t="s">
        <v>517</v>
      </c>
      <c r="F40" s="226"/>
      <c r="G40" s="226"/>
      <c r="H40" s="226"/>
      <c r="I40" s="226"/>
    </row>
    <row r="41" spans="1:9" x14ac:dyDescent="0.3">
      <c r="A41" s="226"/>
      <c r="B41" s="226"/>
      <c r="C41" s="226"/>
      <c r="D41" s="226"/>
      <c r="E41" s="226"/>
      <c r="F41" s="226"/>
      <c r="G41" s="226"/>
      <c r="H41" s="226"/>
      <c r="I41" s="226"/>
    </row>
    <row r="42" spans="1:9" x14ac:dyDescent="0.3">
      <c r="A42" s="226"/>
      <c r="B42" s="226"/>
      <c r="C42" s="226"/>
      <c r="D42" s="230"/>
      <c r="E42" s="228"/>
      <c r="F42" s="226"/>
      <c r="G42" s="226"/>
      <c r="H42" s="226"/>
      <c r="I42" s="226"/>
    </row>
    <row r="43" spans="1:9" x14ac:dyDescent="0.3">
      <c r="A43" s="226"/>
      <c r="B43" s="229" t="s">
        <v>581</v>
      </c>
      <c r="C43" s="279">
        <v>55678</v>
      </c>
      <c r="D43" s="231" t="s">
        <v>98</v>
      </c>
      <c r="E43" s="228"/>
      <c r="F43" s="226"/>
      <c r="G43" s="226"/>
      <c r="H43" s="226"/>
      <c r="I43" s="226"/>
    </row>
    <row r="44" spans="1:9" x14ac:dyDescent="0.3">
      <c r="A44" s="226"/>
      <c r="B44" s="226"/>
      <c r="C44" s="226"/>
      <c r="D44" s="226"/>
      <c r="E44" s="226"/>
      <c r="F44" s="226"/>
      <c r="G44" s="226"/>
      <c r="H44" s="226"/>
      <c r="I44" s="226"/>
    </row>
    <row r="45" spans="1:9" x14ac:dyDescent="0.3">
      <c r="A45" s="226"/>
      <c r="B45" s="229" t="s">
        <v>573</v>
      </c>
      <c r="C45" s="242">
        <v>1.6992924945432532E-3</v>
      </c>
      <c r="D45" s="231" t="s">
        <v>519</v>
      </c>
      <c r="E45" s="228"/>
      <c r="F45" s="226"/>
      <c r="G45" s="226"/>
      <c r="H45" s="226"/>
      <c r="I45" s="226"/>
    </row>
    <row r="46" spans="1:9" x14ac:dyDescent="0.3">
      <c r="A46" s="226"/>
      <c r="B46" s="226"/>
      <c r="C46" s="230"/>
      <c r="D46" s="230"/>
      <c r="E46" s="228"/>
      <c r="F46" s="226"/>
      <c r="G46" s="226"/>
      <c r="H46" s="226"/>
      <c r="I46" s="226"/>
    </row>
    <row r="47" spans="1:9" x14ac:dyDescent="0.3">
      <c r="A47" s="226"/>
      <c r="B47" s="258" t="s">
        <v>582</v>
      </c>
      <c r="C47" s="236" t="s">
        <v>583</v>
      </c>
      <c r="D47" s="236" t="s">
        <v>584</v>
      </c>
      <c r="E47" s="228"/>
      <c r="F47" s="226"/>
      <c r="G47" s="226"/>
      <c r="H47" s="226"/>
      <c r="I47" s="226"/>
    </row>
    <row r="48" spans="1:9" x14ac:dyDescent="0.3">
      <c r="A48" s="226"/>
      <c r="B48" s="234" t="s">
        <v>502</v>
      </c>
      <c r="C48" s="256">
        <f>C45*C39</f>
        <v>50987.626450901669</v>
      </c>
      <c r="D48" s="257">
        <v>4690.3735490983308</v>
      </c>
      <c r="E48" s="226"/>
      <c r="F48" s="226"/>
      <c r="G48" s="226"/>
      <c r="H48" s="226"/>
      <c r="I48" s="226"/>
    </row>
    <row r="49" spans="1:9" x14ac:dyDescent="0.3">
      <c r="A49" s="226"/>
      <c r="B49" s="234" t="s">
        <v>127</v>
      </c>
      <c r="C49" s="285" t="s">
        <v>98</v>
      </c>
      <c r="D49" s="236" t="s">
        <v>98</v>
      </c>
      <c r="E49" s="228"/>
      <c r="F49" s="226"/>
      <c r="G49" s="226"/>
      <c r="H49" s="226"/>
      <c r="I49" s="226"/>
    </row>
    <row r="50" spans="1:9" x14ac:dyDescent="0.3">
      <c r="A50" s="226"/>
      <c r="B50" s="226"/>
      <c r="C50" s="226"/>
      <c r="D50" s="226"/>
      <c r="E50" s="226"/>
      <c r="F50" s="226"/>
      <c r="G50" s="226"/>
      <c r="H50" s="226"/>
      <c r="I50" s="226"/>
    </row>
    <row r="51" spans="1:9" x14ac:dyDescent="0.3">
      <c r="A51" s="226"/>
      <c r="B51" s="226"/>
      <c r="C51" s="226"/>
      <c r="D51" s="226"/>
      <c r="E51" s="226"/>
      <c r="F51" s="226"/>
      <c r="G51" s="226"/>
      <c r="H51" s="226"/>
      <c r="I51" s="226"/>
    </row>
    <row r="52" spans="1:9" x14ac:dyDescent="0.3">
      <c r="A52" s="226"/>
      <c r="B52" s="226"/>
      <c r="C52" s="226"/>
      <c r="D52" s="226"/>
      <c r="E52" s="226"/>
      <c r="F52" s="226"/>
      <c r="G52" s="226"/>
      <c r="H52" s="226"/>
      <c r="I52" s="226"/>
    </row>
    <row r="53" spans="1:9" x14ac:dyDescent="0.3">
      <c r="A53" s="226"/>
      <c r="B53" s="226"/>
      <c r="C53" s="226"/>
      <c r="D53" s="226"/>
      <c r="E53" s="226"/>
      <c r="F53" s="226"/>
      <c r="G53" s="226"/>
      <c r="H53" s="226"/>
      <c r="I53" s="226"/>
    </row>
    <row r="54" spans="1:9" x14ac:dyDescent="0.3">
      <c r="A54" s="226"/>
      <c r="B54" s="226"/>
      <c r="C54" s="226"/>
      <c r="D54" s="226"/>
      <c r="E54" s="226"/>
      <c r="F54" s="226"/>
      <c r="G54" s="226"/>
      <c r="H54" s="226"/>
      <c r="I54" s="226"/>
    </row>
    <row r="55" spans="1:9" x14ac:dyDescent="0.3">
      <c r="A55" s="226"/>
      <c r="B55" s="226"/>
      <c r="C55" s="226"/>
      <c r="D55" s="226"/>
      <c r="E55" s="226"/>
      <c r="F55" s="226"/>
      <c r="G55" s="226"/>
      <c r="H55" s="226"/>
      <c r="I55" s="226"/>
    </row>
    <row r="56" spans="1:9" x14ac:dyDescent="0.3">
      <c r="A56" s="226"/>
      <c r="B56" s="226"/>
      <c r="C56" s="226"/>
      <c r="D56" s="226"/>
      <c r="E56" s="226"/>
      <c r="F56" s="226"/>
      <c r="G56" s="226"/>
      <c r="H56" s="226"/>
      <c r="I56" s="226"/>
    </row>
  </sheetData>
  <customSheetViews>
    <customSheetView guid="{A8E9A491-4491-4848-9959-58297999E6F5}" scale="85" showGridLines="0">
      <selection activeCell="M16" sqref="M16"/>
      <pageMargins left="0" right="0" top="0" bottom="0" header="0" footer="0"/>
      <pageSetup orientation="portrait" r:id="rId1"/>
    </customSheetView>
    <customSheetView guid="{CBE97499-8DE4-4834-9D9F-4D852DB24A20}" scale="85" showGridLines="0" topLeftCell="A13">
      <selection activeCell="D28" sqref="D28"/>
      <pageMargins left="0" right="0" top="0" bottom="0" header="0" footer="0"/>
      <pageSetup orientation="portrait" r:id="rId2"/>
    </customSheetView>
    <customSheetView guid="{BAC701C4-B534-4ABA-907B-FE30A3505B8B}" scale="85" showGridLines="0" topLeftCell="A10">
      <selection activeCell="D22" sqref="D22"/>
      <pageMargins left="0" right="0" top="0" bottom="0" header="0" footer="0"/>
      <pageSetup orientation="portrait" r:id="rId3"/>
    </customSheetView>
    <customSheetView guid="{3F555A8F-379C-4D2D-833A-FF346FE5F044}" scale="85" showGridLines="0" topLeftCell="A13">
      <selection activeCell="D28" sqref="D28"/>
      <pageMargins left="0" right="0" top="0" bottom="0" header="0" footer="0"/>
      <pageSetup orientation="portrait" r:id="rId4"/>
    </customSheetView>
    <customSheetView guid="{61CEA325-629A-4670-A66B-4314E031BBF1}" scale="85" showGridLines="0">
      <selection activeCell="M16" sqref="M16"/>
      <pageMargins left="0" right="0" top="0" bottom="0" header="0" footer="0"/>
      <pageSetup orientation="portrait" r:id="rId5"/>
    </customSheetView>
  </customSheetViews>
  <mergeCells count="4">
    <mergeCell ref="D9:E9"/>
    <mergeCell ref="B27:B29"/>
    <mergeCell ref="I15:J15"/>
    <mergeCell ref="G14:G15"/>
  </mergeCells>
  <hyperlinks>
    <hyperlink ref="B31" location="Allocation!A1" display="Allocation!A1" xr:uid="{00000000-0004-0000-0900-000000000000}"/>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E2ED8-6EED-4152-BD52-C94922C33BD0}">
  <sheetPr>
    <tabColor theme="9"/>
  </sheetPr>
  <dimension ref="A1:S56"/>
  <sheetViews>
    <sheetView showGridLines="0" topLeftCell="C13" zoomScale="115" zoomScaleNormal="115" workbookViewId="0">
      <selection activeCell="E28" sqref="E28"/>
    </sheetView>
  </sheetViews>
  <sheetFormatPr defaultColWidth="8.6640625" defaultRowHeight="14.4" x14ac:dyDescent="0.3"/>
  <cols>
    <col min="1" max="1" width="4.88671875" style="5" customWidth="1"/>
    <col min="2" max="2" width="47.6640625" style="5" customWidth="1"/>
    <col min="3" max="3" width="34" style="5" bestFit="1" customWidth="1"/>
    <col min="4" max="4" width="35" style="5" customWidth="1"/>
    <col min="5" max="5" width="48.88671875" style="5" bestFit="1" customWidth="1"/>
    <col min="6" max="6" width="35" style="5" customWidth="1"/>
    <col min="7" max="7" width="32.88671875" style="5" customWidth="1"/>
    <col min="8" max="8" width="23.88671875" style="5" customWidth="1"/>
    <col min="9" max="12" width="8.6640625" style="5"/>
    <col min="13" max="13" width="57.44140625" style="5" customWidth="1"/>
    <col min="14" max="14" width="22.109375" style="5" customWidth="1"/>
    <col min="15" max="15" width="27.6640625" style="5" bestFit="1" customWidth="1"/>
    <col min="16" max="17" width="37.88671875" style="5" bestFit="1" customWidth="1"/>
    <col min="18" max="18" width="25.88671875" style="5" customWidth="1"/>
    <col min="19" max="19" width="31" style="5" customWidth="1"/>
    <col min="20" max="16384" width="8.6640625" style="5"/>
  </cols>
  <sheetData>
    <row r="1" spans="1:19" x14ac:dyDescent="0.3">
      <c r="A1" s="347"/>
    </row>
    <row r="2" spans="1:19" customFormat="1" ht="15" customHeight="1" x14ac:dyDescent="0.3">
      <c r="A2" s="153" t="s">
        <v>560</v>
      </c>
    </row>
    <row r="3" spans="1:19" x14ac:dyDescent="0.3">
      <c r="A3" s="96" t="s">
        <v>523</v>
      </c>
      <c r="D3" s="11"/>
    </row>
    <row r="4" spans="1:19" customFormat="1" ht="15" customHeight="1" x14ac:dyDescent="0.3">
      <c r="A4" s="153" t="s">
        <v>561</v>
      </c>
    </row>
    <row r="5" spans="1:19" customFormat="1" ht="15" customHeight="1" x14ac:dyDescent="0.3">
      <c r="A5" s="66" t="s">
        <v>494</v>
      </c>
    </row>
    <row r="7" spans="1:19" s="126" customFormat="1" x14ac:dyDescent="0.3">
      <c r="A7" s="6" t="s">
        <v>562</v>
      </c>
      <c r="B7" s="6"/>
      <c r="C7" s="6"/>
      <c r="D7" s="6"/>
      <c r="E7" s="6"/>
    </row>
    <row r="9" spans="1:19" x14ac:dyDescent="0.3">
      <c r="B9" s="83" t="s">
        <v>532</v>
      </c>
      <c r="C9" s="30" t="s">
        <v>585</v>
      </c>
      <c r="D9" s="598" t="s">
        <v>564</v>
      </c>
      <c r="E9" s="598"/>
    </row>
    <row r="10" spans="1:19" customFormat="1" x14ac:dyDescent="0.3">
      <c r="B10" s="49" t="s">
        <v>27</v>
      </c>
      <c r="C10" s="48"/>
      <c r="I10" s="5"/>
      <c r="J10" s="5"/>
      <c r="K10" s="5"/>
      <c r="L10" s="5"/>
      <c r="M10" s="5"/>
      <c r="N10" s="5"/>
      <c r="O10" s="5"/>
      <c r="P10" s="5"/>
      <c r="Q10" s="5"/>
      <c r="R10" s="5"/>
      <c r="S10" s="5"/>
    </row>
    <row r="12" spans="1:19" x14ac:dyDescent="0.3">
      <c r="B12" s="25" t="s">
        <v>565</v>
      </c>
      <c r="E12" s="27"/>
    </row>
    <row r="13" spans="1:19" ht="28.8" x14ac:dyDescent="0.3">
      <c r="B13" s="97" t="s">
        <v>566</v>
      </c>
      <c r="C13" s="138" t="s">
        <v>123</v>
      </c>
      <c r="D13" s="528" t="str" cm="1">
        <f t="array" ref="D13:D15">TRANSPOSE('Corn (Global)'!B104:D104)</f>
        <v>Corn (Global)</v>
      </c>
      <c r="E13" s="528" t="str" cm="1">
        <f t="array" ref="E13:E15">TRANSPOSE('Wheat (non-durum) (Global)'!B104:D104)</f>
        <v>Wheat (non-durum) (Global)</v>
      </c>
      <c r="F13" s="80" t="s">
        <v>499</v>
      </c>
      <c r="G13" s="260" t="s">
        <v>500</v>
      </c>
      <c r="H13" s="80" t="s">
        <v>442</v>
      </c>
    </row>
    <row r="14" spans="1:19" ht="43.2" x14ac:dyDescent="0.3">
      <c r="B14" s="97" t="s">
        <v>567</v>
      </c>
      <c r="C14" s="76" t="s">
        <v>502</v>
      </c>
      <c r="D14" s="515">
        <v>496999.94899</v>
      </c>
      <c r="E14" s="515">
        <v>90903.769659999991</v>
      </c>
      <c r="F14" s="30"/>
      <c r="G14" s="670" t="s">
        <v>568</v>
      </c>
      <c r="H14" s="98">
        <f>SUM(D14:G14)</f>
        <v>587903.71864999994</v>
      </c>
    </row>
    <row r="15" spans="1:19" ht="57.6" x14ac:dyDescent="0.3">
      <c r="B15" s="97" t="s">
        <v>569</v>
      </c>
      <c r="C15" s="76" t="s">
        <v>127</v>
      </c>
      <c r="D15" s="516" t="str">
        <v>t</v>
      </c>
      <c r="E15" s="516" t="str">
        <v>t</v>
      </c>
      <c r="F15" s="30"/>
      <c r="G15" s="671"/>
      <c r="H15" s="259" t="str">
        <f>'Wheat (non-durum) (Global)'!D104</f>
        <v>t</v>
      </c>
      <c r="I15" s="681"/>
      <c r="J15" s="682"/>
    </row>
    <row r="17" spans="1:7" x14ac:dyDescent="0.3">
      <c r="B17" s="25" t="s">
        <v>570</v>
      </c>
      <c r="C17" s="25"/>
      <c r="D17" s="25"/>
      <c r="E17" s="25"/>
      <c r="F17" s="25"/>
      <c r="G17" s="25"/>
    </row>
    <row r="18" spans="1:7" x14ac:dyDescent="0.3">
      <c r="B18" s="80" t="s">
        <v>571</v>
      </c>
      <c r="C18" s="516">
        <f>'Animal feeds (DDGS)'!C69</f>
        <v>2734685390.8874993</v>
      </c>
      <c r="D18" s="77" t="s">
        <v>98</v>
      </c>
    </row>
    <row r="19" spans="1:7" x14ac:dyDescent="0.3">
      <c r="C19" s="3"/>
      <c r="D19" s="3"/>
    </row>
    <row r="20" spans="1:7" x14ac:dyDescent="0.3">
      <c r="C20" s="3"/>
      <c r="D20" s="3"/>
    </row>
    <row r="21" spans="1:7" x14ac:dyDescent="0.3">
      <c r="B21" s="25" t="s">
        <v>572</v>
      </c>
      <c r="C21" s="25"/>
      <c r="D21" s="25"/>
      <c r="E21" s="25"/>
      <c r="F21" s="25"/>
      <c r="G21" s="25"/>
    </row>
    <row r="22" spans="1:7" x14ac:dyDescent="0.3">
      <c r="B22" s="80" t="s">
        <v>573</v>
      </c>
      <c r="C22" s="98">
        <f>IFERROR(C18/H14,"")</f>
        <v>4651.5871632299632</v>
      </c>
      <c r="D22" s="77" t="str">
        <f>CONCATENATE("MJ/",H15)</f>
        <v>MJ/t</v>
      </c>
    </row>
    <row r="23" spans="1:7" x14ac:dyDescent="0.3">
      <c r="C23" s="3"/>
      <c r="D23" s="3"/>
      <c r="E23" s="21"/>
    </row>
    <row r="24" spans="1:7" s="6" customFormat="1" x14ac:dyDescent="0.3">
      <c r="A24" s="6" t="s">
        <v>453</v>
      </c>
      <c r="D24" s="20"/>
    </row>
    <row r="25" spans="1:7" x14ac:dyDescent="0.3">
      <c r="C25" s="3"/>
      <c r="D25" s="3"/>
      <c r="E25" s="21"/>
    </row>
    <row r="26" spans="1:7" x14ac:dyDescent="0.3">
      <c r="B26" s="25" t="s">
        <v>574</v>
      </c>
      <c r="E26" s="62"/>
    </row>
    <row r="27" spans="1:7" ht="14.4" customHeight="1" x14ac:dyDescent="0.3">
      <c r="B27" s="667" t="s">
        <v>575</v>
      </c>
      <c r="C27" s="138" t="s">
        <v>576</v>
      </c>
      <c r="D27" s="271" t="str">
        <f>IF($C$9="","",CONCATENATE($C$9, " from ", D13))</f>
        <v>Animal feeds (DDGS) from Corn (Global)</v>
      </c>
      <c r="E27" s="271" t="str">
        <f>IF($C$9="","",CONCATENATE($C$9, " from ", E13))</f>
        <v>Animal feeds (DDGS) from Wheat (non-durum) (Global)</v>
      </c>
      <c r="F27" s="271" t="str">
        <f>IF($C$9="","",CONCATENATE($C$9, " from ", F13))</f>
        <v>Animal feeds (DDGS) from Feedstock C</v>
      </c>
    </row>
    <row r="28" spans="1:7" x14ac:dyDescent="0.3">
      <c r="B28" s="667"/>
      <c r="C28" s="138" t="s">
        <v>577</v>
      </c>
      <c r="D28" s="511">
        <f>IFERROR($C$22*D14,"")</f>
        <v>2311838582.8478303</v>
      </c>
      <c r="E28" s="511">
        <f>IFERROR($C$22*E14,"")</f>
        <v>422846808.03966933</v>
      </c>
      <c r="F28" s="115">
        <f>IFERROR($C$22*F14,"")</f>
        <v>0</v>
      </c>
    </row>
    <row r="29" spans="1:7" x14ac:dyDescent="0.3">
      <c r="B29" s="667"/>
      <c r="C29" s="138" t="s">
        <v>127</v>
      </c>
      <c r="D29" s="123" t="s">
        <v>98</v>
      </c>
      <c r="E29" s="123" t="s">
        <v>98</v>
      </c>
      <c r="F29" s="123" t="s">
        <v>98</v>
      </c>
    </row>
    <row r="30" spans="1:7" x14ac:dyDescent="0.3">
      <c r="C30" s="3"/>
      <c r="D30" s="3"/>
    </row>
    <row r="31" spans="1:7" x14ac:dyDescent="0.3">
      <c r="B31" s="274" t="s">
        <v>456</v>
      </c>
      <c r="C31" s="3"/>
      <c r="D31" s="3"/>
    </row>
    <row r="32" spans="1:7" x14ac:dyDescent="0.3">
      <c r="B32" s="3"/>
      <c r="C32" s="3"/>
      <c r="D32" s="3"/>
    </row>
    <row r="33" spans="1:9" s="126" customFormat="1" x14ac:dyDescent="0.3">
      <c r="A33" s="6" t="s">
        <v>512</v>
      </c>
      <c r="B33" s="6"/>
      <c r="C33" s="6"/>
      <c r="D33" s="6"/>
      <c r="E33" s="6"/>
    </row>
    <row r="34" spans="1:9" x14ac:dyDescent="0.3">
      <c r="A34" s="240" t="s">
        <v>578</v>
      </c>
      <c r="B34" s="226"/>
      <c r="C34" s="226"/>
      <c r="D34" s="226"/>
      <c r="E34" s="226"/>
      <c r="F34" s="226"/>
      <c r="G34" s="226"/>
      <c r="H34" s="226"/>
      <c r="I34" s="226"/>
    </row>
    <row r="35" spans="1:9" x14ac:dyDescent="0.3">
      <c r="A35" s="226"/>
      <c r="B35" s="226"/>
      <c r="C35" s="226"/>
      <c r="D35" s="226"/>
      <c r="E35" s="226"/>
      <c r="F35" s="226"/>
      <c r="G35" s="226"/>
      <c r="H35" s="226"/>
      <c r="I35" s="226"/>
    </row>
    <row r="36" spans="1:9" x14ac:dyDescent="0.3">
      <c r="A36" s="226"/>
      <c r="B36" s="241" t="s">
        <v>532</v>
      </c>
      <c r="C36" s="237" t="s">
        <v>559</v>
      </c>
      <c r="D36" s="226"/>
      <c r="E36" s="226"/>
      <c r="F36" s="226"/>
      <c r="G36" s="226"/>
      <c r="H36" s="226"/>
      <c r="I36" s="226"/>
    </row>
    <row r="37" spans="1:9" x14ac:dyDescent="0.3">
      <c r="A37" s="226"/>
      <c r="B37" s="226"/>
      <c r="C37" s="226"/>
      <c r="D37" s="226"/>
      <c r="E37" s="226"/>
      <c r="F37" s="226"/>
      <c r="G37" s="226"/>
      <c r="H37" s="226"/>
      <c r="I37" s="226"/>
    </row>
    <row r="38" spans="1:9" x14ac:dyDescent="0.3">
      <c r="A38" s="226"/>
      <c r="B38" s="255" t="s">
        <v>515</v>
      </c>
      <c r="C38" s="227" t="s">
        <v>133</v>
      </c>
      <c r="D38" s="227" t="s">
        <v>579</v>
      </c>
      <c r="E38" s="229" t="s">
        <v>580</v>
      </c>
      <c r="F38" s="226"/>
      <c r="G38" s="226"/>
      <c r="H38" s="226"/>
      <c r="I38" s="226"/>
    </row>
    <row r="39" spans="1:9" x14ac:dyDescent="0.3">
      <c r="A39" s="226"/>
      <c r="B39" s="234" t="s">
        <v>502</v>
      </c>
      <c r="C39" s="284">
        <v>30005209</v>
      </c>
      <c r="D39" s="279">
        <v>2760192</v>
      </c>
      <c r="E39" s="280">
        <v>32765401</v>
      </c>
      <c r="F39" s="226"/>
      <c r="G39" s="226"/>
      <c r="H39" s="226"/>
      <c r="I39" s="226"/>
    </row>
    <row r="40" spans="1:9" x14ac:dyDescent="0.3">
      <c r="A40" s="226"/>
      <c r="B40" s="234" t="s">
        <v>127</v>
      </c>
      <c r="C40" s="239" t="s">
        <v>517</v>
      </c>
      <c r="D40" s="237" t="s">
        <v>517</v>
      </c>
      <c r="E40" s="237" t="s">
        <v>517</v>
      </c>
      <c r="F40" s="226"/>
      <c r="G40" s="226"/>
      <c r="H40" s="226"/>
      <c r="I40" s="226"/>
    </row>
    <row r="41" spans="1:9" x14ac:dyDescent="0.3">
      <c r="A41" s="226"/>
      <c r="B41" s="226"/>
      <c r="C41" s="226"/>
      <c r="D41" s="226"/>
      <c r="E41" s="226"/>
      <c r="F41" s="226"/>
      <c r="G41" s="226"/>
      <c r="H41" s="226"/>
      <c r="I41" s="226"/>
    </row>
    <row r="42" spans="1:9" x14ac:dyDescent="0.3">
      <c r="A42" s="226"/>
      <c r="B42" s="226"/>
      <c r="C42" s="226"/>
      <c r="D42" s="230"/>
      <c r="E42" s="228"/>
      <c r="F42" s="226"/>
      <c r="G42" s="226"/>
      <c r="H42" s="226"/>
      <c r="I42" s="226"/>
    </row>
    <row r="43" spans="1:9" x14ac:dyDescent="0.3">
      <c r="A43" s="226"/>
      <c r="B43" s="229" t="s">
        <v>581</v>
      </c>
      <c r="C43" s="279">
        <v>55678</v>
      </c>
      <c r="D43" s="231" t="s">
        <v>98</v>
      </c>
      <c r="E43" s="228"/>
      <c r="F43" s="226"/>
      <c r="G43" s="226"/>
      <c r="H43" s="226"/>
      <c r="I43" s="226"/>
    </row>
    <row r="44" spans="1:9" x14ac:dyDescent="0.3">
      <c r="A44" s="226"/>
      <c r="B44" s="226"/>
      <c r="C44" s="226"/>
      <c r="D44" s="226"/>
      <c r="E44" s="226"/>
      <c r="F44" s="226"/>
      <c r="G44" s="226"/>
      <c r="H44" s="226"/>
      <c r="I44" s="226"/>
    </row>
    <row r="45" spans="1:9" x14ac:dyDescent="0.3">
      <c r="A45" s="226"/>
      <c r="B45" s="229" t="s">
        <v>573</v>
      </c>
      <c r="C45" s="242">
        <v>1.6992924945432532E-3</v>
      </c>
      <c r="D45" s="231" t="s">
        <v>519</v>
      </c>
      <c r="E45" s="228"/>
      <c r="F45" s="226"/>
      <c r="G45" s="226"/>
      <c r="H45" s="226"/>
      <c r="I45" s="226"/>
    </row>
    <row r="46" spans="1:9" x14ac:dyDescent="0.3">
      <c r="A46" s="226"/>
      <c r="B46" s="226"/>
      <c r="C46" s="230"/>
      <c r="D46" s="230"/>
      <c r="E46" s="228"/>
      <c r="F46" s="226"/>
      <c r="G46" s="226"/>
      <c r="H46" s="226"/>
      <c r="I46" s="226"/>
    </row>
    <row r="47" spans="1:9" x14ac:dyDescent="0.3">
      <c r="A47" s="226"/>
      <c r="B47" s="258" t="s">
        <v>582</v>
      </c>
      <c r="C47" s="236" t="s">
        <v>583</v>
      </c>
      <c r="D47" s="236" t="s">
        <v>584</v>
      </c>
      <c r="E47" s="228"/>
      <c r="F47" s="226"/>
      <c r="G47" s="226"/>
      <c r="H47" s="226"/>
      <c r="I47" s="226"/>
    </row>
    <row r="48" spans="1:9" x14ac:dyDescent="0.3">
      <c r="A48" s="226"/>
      <c r="B48" s="234" t="s">
        <v>502</v>
      </c>
      <c r="C48" s="256">
        <f>C45*C39</f>
        <v>50987.626450901669</v>
      </c>
      <c r="D48" s="257">
        <v>4690.3735490983308</v>
      </c>
      <c r="E48" s="226"/>
      <c r="F48" s="226"/>
      <c r="G48" s="226"/>
      <c r="H48" s="226"/>
      <c r="I48" s="226"/>
    </row>
    <row r="49" spans="1:9" x14ac:dyDescent="0.3">
      <c r="A49" s="226"/>
      <c r="B49" s="234" t="s">
        <v>127</v>
      </c>
      <c r="C49" s="285" t="s">
        <v>98</v>
      </c>
      <c r="D49" s="236" t="s">
        <v>98</v>
      </c>
      <c r="E49" s="228"/>
      <c r="F49" s="226"/>
      <c r="G49" s="226"/>
      <c r="H49" s="226"/>
      <c r="I49" s="226"/>
    </row>
    <row r="50" spans="1:9" x14ac:dyDescent="0.3">
      <c r="A50" s="226"/>
      <c r="B50" s="226"/>
      <c r="C50" s="226"/>
      <c r="D50" s="226"/>
      <c r="E50" s="226"/>
      <c r="F50" s="226"/>
      <c r="G50" s="226"/>
      <c r="H50" s="226"/>
      <c r="I50" s="226"/>
    </row>
    <row r="51" spans="1:9" x14ac:dyDescent="0.3">
      <c r="A51" s="226"/>
      <c r="B51" s="226"/>
      <c r="C51" s="226"/>
      <c r="D51" s="226"/>
      <c r="E51" s="226"/>
      <c r="F51" s="226"/>
      <c r="G51" s="226"/>
      <c r="H51" s="226"/>
      <c r="I51" s="226"/>
    </row>
    <row r="52" spans="1:9" x14ac:dyDescent="0.3">
      <c r="A52" s="226"/>
      <c r="B52" s="226"/>
      <c r="C52" s="226"/>
      <c r="D52" s="226"/>
      <c r="E52" s="226"/>
      <c r="F52" s="226"/>
      <c r="G52" s="226"/>
      <c r="H52" s="226"/>
      <c r="I52" s="226"/>
    </row>
    <row r="53" spans="1:9" x14ac:dyDescent="0.3">
      <c r="A53" s="226"/>
      <c r="B53" s="226"/>
      <c r="C53" s="226"/>
      <c r="D53" s="226"/>
      <c r="E53" s="226"/>
      <c r="F53" s="226"/>
      <c r="G53" s="226"/>
      <c r="H53" s="226"/>
      <c r="I53" s="226"/>
    </row>
    <row r="54" spans="1:9" x14ac:dyDescent="0.3">
      <c r="A54" s="226"/>
      <c r="B54" s="226"/>
      <c r="C54" s="226"/>
      <c r="D54" s="226"/>
      <c r="E54" s="226"/>
      <c r="F54" s="226"/>
      <c r="G54" s="226"/>
      <c r="H54" s="226"/>
      <c r="I54" s="226"/>
    </row>
    <row r="55" spans="1:9" x14ac:dyDescent="0.3">
      <c r="A55" s="226"/>
      <c r="B55" s="226"/>
      <c r="C55" s="226"/>
      <c r="D55" s="226"/>
      <c r="E55" s="226"/>
      <c r="F55" s="226"/>
      <c r="G55" s="226"/>
      <c r="H55" s="226"/>
      <c r="I55" s="226"/>
    </row>
    <row r="56" spans="1:9" x14ac:dyDescent="0.3">
      <c r="A56" s="226"/>
      <c r="B56" s="226"/>
      <c r="C56" s="226"/>
      <c r="D56" s="226"/>
      <c r="E56" s="226"/>
      <c r="F56" s="226"/>
      <c r="G56" s="226"/>
      <c r="H56" s="226"/>
      <c r="I56" s="226"/>
    </row>
  </sheetData>
  <mergeCells count="4">
    <mergeCell ref="D9:E9"/>
    <mergeCell ref="G14:G15"/>
    <mergeCell ref="I15:J15"/>
    <mergeCell ref="B27:B29"/>
  </mergeCells>
  <hyperlinks>
    <hyperlink ref="B31" location="Allocation!A1" display="Allocation!A1" xr:uid="{1197DC00-AD36-47F5-B4A4-06E326087FB2}"/>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A1:N65"/>
  <sheetViews>
    <sheetView showGridLines="0" topLeftCell="A46" zoomScale="90" zoomScaleNormal="90" workbookViewId="0">
      <selection activeCell="C63" sqref="C63"/>
    </sheetView>
  </sheetViews>
  <sheetFormatPr defaultColWidth="8.6640625" defaultRowHeight="14.4" x14ac:dyDescent="0.3"/>
  <cols>
    <col min="1" max="1" width="4" style="5" customWidth="1"/>
    <col min="2" max="2" width="31.44140625" style="5" customWidth="1"/>
    <col min="3" max="4" width="32.6640625" style="5" customWidth="1"/>
    <col min="5" max="5" width="43.33203125" style="5" customWidth="1"/>
    <col min="6" max="6" width="32.6640625" style="5" customWidth="1"/>
    <col min="7" max="7" width="17.88671875" style="5" customWidth="1"/>
    <col min="8" max="9" width="28.109375" style="21" customWidth="1"/>
    <col min="10" max="10" width="17.44140625" style="5" customWidth="1"/>
    <col min="11" max="16384" width="8.6640625" style="5"/>
  </cols>
  <sheetData>
    <row r="1" spans="1:14" x14ac:dyDescent="0.3">
      <c r="A1" s="347"/>
    </row>
    <row r="2" spans="1:14" s="96" customFormat="1" x14ac:dyDescent="0.3">
      <c r="A2" s="96" t="s">
        <v>586</v>
      </c>
    </row>
    <row r="3" spans="1:14" customFormat="1" x14ac:dyDescent="0.3">
      <c r="A3" s="66" t="s">
        <v>587</v>
      </c>
      <c r="B3" s="124"/>
      <c r="C3" s="5"/>
      <c r="D3" s="5"/>
      <c r="E3" s="5"/>
      <c r="F3" s="5"/>
      <c r="G3" s="5"/>
    </row>
    <row r="4" spans="1:14" x14ac:dyDescent="0.3">
      <c r="A4" s="66" t="s">
        <v>588</v>
      </c>
      <c r="C4" s="28"/>
    </row>
    <row r="6" spans="1:14" x14ac:dyDescent="0.3">
      <c r="A6" s="6" t="s">
        <v>356</v>
      </c>
      <c r="B6" s="6"/>
      <c r="C6" s="6"/>
      <c r="D6" s="6"/>
      <c r="E6" s="6"/>
      <c r="F6" s="6"/>
      <c r="G6" s="6"/>
    </row>
    <row r="8" spans="1:14" x14ac:dyDescent="0.3">
      <c r="B8" s="80" t="s">
        <v>589</v>
      </c>
      <c r="C8" s="24" t="s">
        <v>226</v>
      </c>
      <c r="D8" s="28"/>
      <c r="G8" s="28"/>
    </row>
    <row r="9" spans="1:14" x14ac:dyDescent="0.3">
      <c r="B9" s="80" t="s">
        <v>463</v>
      </c>
      <c r="C9" s="114" t="str">
        <f>IF(C8="Select fuel input","",C8)</f>
        <v>Natural gas, gaseous</v>
      </c>
      <c r="D9" s="683" t="s">
        <v>464</v>
      </c>
      <c r="E9" s="683"/>
      <c r="G9" s="28"/>
    </row>
    <row r="10" spans="1:14" ht="28.8" x14ac:dyDescent="0.3">
      <c r="B10" s="80" t="s">
        <v>590</v>
      </c>
      <c r="C10" s="249">
        <v>0</v>
      </c>
      <c r="D10" s="683" t="s">
        <v>591</v>
      </c>
      <c r="E10" s="683"/>
    </row>
    <row r="11" spans="1:14" x14ac:dyDescent="0.3">
      <c r="B11" s="80" t="s">
        <v>27</v>
      </c>
      <c r="C11" s="48"/>
    </row>
    <row r="12" spans="1:14" x14ac:dyDescent="0.3">
      <c r="F12" s="21"/>
      <c r="N12" s="19"/>
    </row>
    <row r="13" spans="1:14" ht="66.75" customHeight="1" x14ac:dyDescent="0.3">
      <c r="B13" s="80" t="s">
        <v>592</v>
      </c>
      <c r="C13" s="24" t="s">
        <v>367</v>
      </c>
      <c r="D13" s="687" t="s">
        <v>593</v>
      </c>
      <c r="E13" s="688"/>
    </row>
    <row r="14" spans="1:14" ht="15.75" customHeight="1" x14ac:dyDescent="0.3"/>
    <row r="15" spans="1:14" x14ac:dyDescent="0.3">
      <c r="B15" s="25" t="s">
        <v>594</v>
      </c>
      <c r="F15" s="21"/>
      <c r="H15" s="5"/>
      <c r="I15" s="5"/>
      <c r="N15" s="19"/>
    </row>
    <row r="16" spans="1:14" x14ac:dyDescent="0.3">
      <c r="B16" s="92" t="s">
        <v>595</v>
      </c>
      <c r="C16" s="9"/>
      <c r="F16" s="21"/>
      <c r="H16" s="5"/>
      <c r="I16" s="5"/>
      <c r="N16" s="19"/>
    </row>
    <row r="17" spans="1:14" ht="28.8" x14ac:dyDescent="0.3">
      <c r="B17" s="92" t="s">
        <v>467</v>
      </c>
      <c r="C17" s="9"/>
      <c r="F17" s="21"/>
      <c r="H17" s="5"/>
      <c r="I17" s="5"/>
      <c r="N17" s="19"/>
    </row>
    <row r="18" spans="1:14" ht="15.75" customHeight="1" x14ac:dyDescent="0.3">
      <c r="B18" s="3"/>
      <c r="C18" s="193"/>
      <c r="D18" s="368"/>
      <c r="E18" s="368"/>
    </row>
    <row r="19" spans="1:14" x14ac:dyDescent="0.3">
      <c r="B19" s="25" t="s">
        <v>596</v>
      </c>
      <c r="C19" s="25"/>
      <c r="D19" s="25"/>
    </row>
    <row r="20" spans="1:14" ht="28.8" x14ac:dyDescent="0.3">
      <c r="B20" s="80" t="s">
        <v>597</v>
      </c>
      <c r="C20" s="9"/>
    </row>
    <row r="21" spans="1:14" x14ac:dyDescent="0.3">
      <c r="B21" s="80" t="s">
        <v>598</v>
      </c>
      <c r="C21" s="9"/>
    </row>
    <row r="22" spans="1:14" x14ac:dyDescent="0.3">
      <c r="B22" s="3"/>
    </row>
    <row r="23" spans="1:14" s="6" customFormat="1" x14ac:dyDescent="0.3">
      <c r="A23" s="6" t="s">
        <v>476</v>
      </c>
      <c r="H23" s="20"/>
      <c r="I23" s="20"/>
    </row>
    <row r="24" spans="1:14" x14ac:dyDescent="0.3">
      <c r="B24" s="23"/>
      <c r="C24" s="11"/>
      <c r="D24" s="23"/>
      <c r="F24" s="21"/>
      <c r="N24" s="19"/>
    </row>
    <row r="25" spans="1:14" x14ac:dyDescent="0.3">
      <c r="B25" s="321" t="s">
        <v>599</v>
      </c>
      <c r="C25" s="9" t="s">
        <v>81</v>
      </c>
      <c r="D25" s="683" t="s">
        <v>600</v>
      </c>
      <c r="E25" s="683"/>
    </row>
    <row r="26" spans="1:14" x14ac:dyDescent="0.3">
      <c r="B26" s="23"/>
      <c r="C26" s="11"/>
      <c r="D26" s="23"/>
      <c r="F26" s="21"/>
      <c r="N26" s="19"/>
    </row>
    <row r="27" spans="1:14" ht="29.1" customHeight="1" x14ac:dyDescent="0.3">
      <c r="A27" s="11"/>
      <c r="B27" s="105" t="s">
        <v>412</v>
      </c>
      <c r="C27" s="76" t="s">
        <v>601</v>
      </c>
      <c r="D27" s="76" t="s">
        <v>602</v>
      </c>
      <c r="E27" s="76" t="s">
        <v>603</v>
      </c>
      <c r="F27" s="76" t="s">
        <v>604</v>
      </c>
      <c r="G27" s="85" t="s">
        <v>127</v>
      </c>
      <c r="H27" s="667" t="s">
        <v>605</v>
      </c>
      <c r="I27" s="667"/>
    </row>
    <row r="28" spans="1:14" x14ac:dyDescent="0.3">
      <c r="A28" s="11"/>
      <c r="B28" s="684" t="s">
        <v>417</v>
      </c>
      <c r="C28" s="685"/>
      <c r="D28" s="685"/>
      <c r="E28" s="686"/>
      <c r="F28" s="86"/>
      <c r="G28" s="87"/>
      <c r="H28" s="349"/>
      <c r="I28" s="349"/>
    </row>
    <row r="29" spans="1:14" x14ac:dyDescent="0.3">
      <c r="B29" s="214" t="s">
        <v>418</v>
      </c>
      <c r="C29" s="217">
        <v>0</v>
      </c>
      <c r="D29" s="502">
        <v>2243177.625</v>
      </c>
      <c r="E29" s="215">
        <v>0</v>
      </c>
      <c r="F29" s="238">
        <f>C29+D29-E29</f>
        <v>2243177.625</v>
      </c>
      <c r="G29" s="61" t="str">
        <f>IF(C$25="unit","",C$25)</f>
        <v>m3</v>
      </c>
    </row>
    <row r="30" spans="1:14" x14ac:dyDescent="0.3">
      <c r="B30" s="214" t="s">
        <v>419</v>
      </c>
      <c r="C30" s="217">
        <v>0</v>
      </c>
      <c r="D30" s="502">
        <v>2375129.25</v>
      </c>
      <c r="E30" s="215">
        <v>0</v>
      </c>
      <c r="F30" s="238">
        <f t="shared" ref="F30:F52" si="0">C30+D30-E30</f>
        <v>2375129.25</v>
      </c>
      <c r="G30" s="61" t="str">
        <f t="shared" ref="G30:G52" si="1">IF(C$25="unit","",C$25)</f>
        <v>m3</v>
      </c>
    </row>
    <row r="31" spans="1:14" x14ac:dyDescent="0.3">
      <c r="B31" s="214" t="s">
        <v>420</v>
      </c>
      <c r="C31" s="217">
        <v>0</v>
      </c>
      <c r="D31" s="502">
        <v>2559861.5249999999</v>
      </c>
      <c r="E31" s="215">
        <v>0</v>
      </c>
      <c r="F31" s="238">
        <f t="shared" si="0"/>
        <v>2559861.5249999999</v>
      </c>
      <c r="G31" s="61" t="str">
        <f t="shared" si="1"/>
        <v>m3</v>
      </c>
    </row>
    <row r="32" spans="1:14" x14ac:dyDescent="0.3">
      <c r="B32" s="214" t="s">
        <v>421</v>
      </c>
      <c r="C32" s="217">
        <v>0</v>
      </c>
      <c r="D32" s="502">
        <v>2612642.1749999998</v>
      </c>
      <c r="E32" s="215">
        <v>0</v>
      </c>
      <c r="F32" s="238">
        <f t="shared" si="0"/>
        <v>2612642.1749999998</v>
      </c>
      <c r="G32" s="61" t="str">
        <f t="shared" si="1"/>
        <v>m3</v>
      </c>
    </row>
    <row r="33" spans="2:7" x14ac:dyDescent="0.3">
      <c r="B33" s="214" t="s">
        <v>422</v>
      </c>
      <c r="C33" s="217">
        <v>0</v>
      </c>
      <c r="D33" s="502">
        <v>2295958.2749999999</v>
      </c>
      <c r="E33" s="215">
        <v>0</v>
      </c>
      <c r="F33" s="238">
        <f t="shared" si="0"/>
        <v>2295958.2749999999</v>
      </c>
      <c r="G33" s="61" t="str">
        <f t="shared" si="1"/>
        <v>m3</v>
      </c>
    </row>
    <row r="34" spans="2:7" x14ac:dyDescent="0.3">
      <c r="B34" s="214" t="s">
        <v>423</v>
      </c>
      <c r="C34" s="217">
        <v>0</v>
      </c>
      <c r="D34" s="502">
        <v>2269567.9499999997</v>
      </c>
      <c r="E34" s="215">
        <v>0</v>
      </c>
      <c r="F34" s="238">
        <f t="shared" si="0"/>
        <v>2269567.9499999997</v>
      </c>
      <c r="G34" s="61" t="str">
        <f t="shared" si="1"/>
        <v>m3</v>
      </c>
    </row>
    <row r="35" spans="2:7" x14ac:dyDescent="0.3">
      <c r="B35" s="214" t="s">
        <v>424</v>
      </c>
      <c r="C35" s="217">
        <v>0</v>
      </c>
      <c r="D35" s="502">
        <v>2454300.2250000001</v>
      </c>
      <c r="E35" s="215">
        <v>0</v>
      </c>
      <c r="F35" s="238">
        <f t="shared" si="0"/>
        <v>2454300.2250000001</v>
      </c>
      <c r="G35" s="61" t="str">
        <f t="shared" si="1"/>
        <v>m3</v>
      </c>
    </row>
    <row r="36" spans="2:7" x14ac:dyDescent="0.3">
      <c r="B36" s="214" t="s">
        <v>425</v>
      </c>
      <c r="C36" s="217">
        <v>0</v>
      </c>
      <c r="D36" s="502">
        <v>2507080.875</v>
      </c>
      <c r="E36" s="215">
        <v>0</v>
      </c>
      <c r="F36" s="238">
        <f t="shared" si="0"/>
        <v>2507080.875</v>
      </c>
      <c r="G36" s="61" t="str">
        <f t="shared" si="1"/>
        <v>m3</v>
      </c>
    </row>
    <row r="37" spans="2:7" x14ac:dyDescent="0.3">
      <c r="B37" s="214" t="s">
        <v>426</v>
      </c>
      <c r="C37" s="217">
        <v>0</v>
      </c>
      <c r="D37" s="502">
        <v>2401519.5750000002</v>
      </c>
      <c r="E37" s="215">
        <v>0</v>
      </c>
      <c r="F37" s="238">
        <f t="shared" si="0"/>
        <v>2401519.5750000002</v>
      </c>
      <c r="G37" s="61" t="str">
        <f t="shared" si="1"/>
        <v>m3</v>
      </c>
    </row>
    <row r="38" spans="2:7" x14ac:dyDescent="0.3">
      <c r="B38" s="214" t="s">
        <v>427</v>
      </c>
      <c r="C38" s="217">
        <v>0</v>
      </c>
      <c r="D38" s="502">
        <v>2348738.9250000003</v>
      </c>
      <c r="E38" s="215">
        <v>0</v>
      </c>
      <c r="F38" s="238">
        <f t="shared" si="0"/>
        <v>2348738.9250000003</v>
      </c>
      <c r="G38" s="61" t="str">
        <f t="shared" si="1"/>
        <v>m3</v>
      </c>
    </row>
    <row r="39" spans="2:7" x14ac:dyDescent="0.3">
      <c r="B39" s="214" t="s">
        <v>428</v>
      </c>
      <c r="C39" s="217">
        <v>0</v>
      </c>
      <c r="D39" s="502">
        <v>2586251.85</v>
      </c>
      <c r="E39" s="215">
        <v>0</v>
      </c>
      <c r="F39" s="238">
        <f t="shared" si="0"/>
        <v>2586251.85</v>
      </c>
      <c r="G39" s="61" t="str">
        <f t="shared" si="1"/>
        <v>m3</v>
      </c>
    </row>
    <row r="40" spans="2:7" x14ac:dyDescent="0.3">
      <c r="B40" s="214" t="s">
        <v>429</v>
      </c>
      <c r="C40" s="217">
        <v>0</v>
      </c>
      <c r="D40" s="502">
        <v>2427909.9000000004</v>
      </c>
      <c r="E40" s="215">
        <v>0</v>
      </c>
      <c r="F40" s="238">
        <f t="shared" si="0"/>
        <v>2427909.9000000004</v>
      </c>
      <c r="G40" s="61" t="str">
        <f t="shared" si="1"/>
        <v>m3</v>
      </c>
    </row>
    <row r="41" spans="2:7" x14ac:dyDescent="0.3">
      <c r="B41" s="214" t="s">
        <v>430</v>
      </c>
      <c r="C41" s="217">
        <v>0</v>
      </c>
      <c r="D41" s="502">
        <v>3034887.375</v>
      </c>
      <c r="E41" s="215">
        <v>0</v>
      </c>
      <c r="F41" s="238">
        <f t="shared" si="0"/>
        <v>3034887.375</v>
      </c>
      <c r="G41" s="61" t="str">
        <f t="shared" si="1"/>
        <v>m3</v>
      </c>
    </row>
    <row r="42" spans="2:7" x14ac:dyDescent="0.3">
      <c r="B42" s="214" t="s">
        <v>431</v>
      </c>
      <c r="C42" s="217">
        <v>0</v>
      </c>
      <c r="D42" s="502">
        <v>2902935.75</v>
      </c>
      <c r="E42" s="215">
        <v>0</v>
      </c>
      <c r="F42" s="238">
        <f t="shared" si="0"/>
        <v>2902935.75</v>
      </c>
      <c r="G42" s="61" t="str">
        <f t="shared" si="1"/>
        <v>m3</v>
      </c>
    </row>
    <row r="43" spans="2:7" x14ac:dyDescent="0.3">
      <c r="B43" s="214" t="s">
        <v>432</v>
      </c>
      <c r="C43" s="217">
        <v>0</v>
      </c>
      <c r="D43" s="502">
        <v>2718203.4750000006</v>
      </c>
      <c r="E43" s="215">
        <v>0</v>
      </c>
      <c r="F43" s="238">
        <f t="shared" si="0"/>
        <v>2718203.4750000006</v>
      </c>
      <c r="G43" s="61" t="str">
        <f t="shared" si="1"/>
        <v>m3</v>
      </c>
    </row>
    <row r="44" spans="2:7" x14ac:dyDescent="0.3">
      <c r="B44" s="214" t="s">
        <v>433</v>
      </c>
      <c r="C44" s="217">
        <v>0</v>
      </c>
      <c r="D44" s="502">
        <v>2665422.8250000002</v>
      </c>
      <c r="E44" s="215">
        <v>0</v>
      </c>
      <c r="F44" s="238">
        <f t="shared" si="0"/>
        <v>2665422.8250000002</v>
      </c>
      <c r="G44" s="61" t="str">
        <f t="shared" si="1"/>
        <v>m3</v>
      </c>
    </row>
    <row r="45" spans="2:7" x14ac:dyDescent="0.3">
      <c r="B45" s="214" t="s">
        <v>434</v>
      </c>
      <c r="C45" s="217">
        <v>0</v>
      </c>
      <c r="D45" s="502">
        <v>2982106.7249999996</v>
      </c>
      <c r="E45" s="215">
        <v>0</v>
      </c>
      <c r="F45" s="238">
        <f t="shared" si="0"/>
        <v>2982106.7249999996</v>
      </c>
      <c r="G45" s="61" t="str">
        <f t="shared" si="1"/>
        <v>m3</v>
      </c>
    </row>
    <row r="46" spans="2:7" x14ac:dyDescent="0.3">
      <c r="B46" s="214" t="s">
        <v>435</v>
      </c>
      <c r="C46" s="217">
        <v>0</v>
      </c>
      <c r="D46" s="502">
        <v>3008497.0500000003</v>
      </c>
      <c r="E46" s="215">
        <v>0</v>
      </c>
      <c r="F46" s="238">
        <f t="shared" si="0"/>
        <v>3008497.0500000003</v>
      </c>
      <c r="G46" s="61" t="str">
        <f t="shared" si="1"/>
        <v>m3</v>
      </c>
    </row>
    <row r="47" spans="2:7" x14ac:dyDescent="0.3">
      <c r="B47" s="214" t="s">
        <v>436</v>
      </c>
      <c r="C47" s="217">
        <v>0</v>
      </c>
      <c r="D47" s="502">
        <v>2823764.7749999999</v>
      </c>
      <c r="E47" s="215">
        <v>0</v>
      </c>
      <c r="F47" s="238">
        <f t="shared" si="0"/>
        <v>2823764.7749999999</v>
      </c>
      <c r="G47" s="61" t="str">
        <f t="shared" si="1"/>
        <v>m3</v>
      </c>
    </row>
    <row r="48" spans="2:7" x14ac:dyDescent="0.3">
      <c r="B48" s="214" t="s">
        <v>437</v>
      </c>
      <c r="C48" s="217">
        <v>0</v>
      </c>
      <c r="D48" s="502">
        <v>2770984.1250000005</v>
      </c>
      <c r="E48" s="215">
        <v>0</v>
      </c>
      <c r="F48" s="238">
        <f t="shared" si="0"/>
        <v>2770984.1250000005</v>
      </c>
      <c r="G48" s="61" t="str">
        <f t="shared" si="1"/>
        <v>m3</v>
      </c>
    </row>
    <row r="49" spans="1:9" x14ac:dyDescent="0.3">
      <c r="B49" s="214" t="s">
        <v>438</v>
      </c>
      <c r="C49" s="217">
        <v>0</v>
      </c>
      <c r="D49" s="502">
        <v>2876545.4249999998</v>
      </c>
      <c r="E49" s="215">
        <v>0</v>
      </c>
      <c r="F49" s="238">
        <f t="shared" si="0"/>
        <v>2876545.4249999998</v>
      </c>
      <c r="G49" s="61" t="str">
        <f t="shared" si="1"/>
        <v>m3</v>
      </c>
    </row>
    <row r="50" spans="1:9" x14ac:dyDescent="0.3">
      <c r="B50" s="214" t="s">
        <v>439</v>
      </c>
      <c r="C50" s="217">
        <v>0</v>
      </c>
      <c r="D50" s="502">
        <v>2929326.0749999997</v>
      </c>
      <c r="E50" s="215">
        <v>0</v>
      </c>
      <c r="F50" s="238">
        <f t="shared" si="0"/>
        <v>2929326.0749999997</v>
      </c>
      <c r="G50" s="61" t="str">
        <f t="shared" si="1"/>
        <v>m3</v>
      </c>
    </row>
    <row r="51" spans="1:9" x14ac:dyDescent="0.3">
      <c r="B51" s="214" t="s">
        <v>440</v>
      </c>
      <c r="C51" s="217">
        <v>0</v>
      </c>
      <c r="D51" s="502">
        <v>2691813.15</v>
      </c>
      <c r="E51" s="215">
        <v>0</v>
      </c>
      <c r="F51" s="238">
        <f t="shared" si="0"/>
        <v>2691813.15</v>
      </c>
      <c r="G51" s="61" t="str">
        <f t="shared" si="1"/>
        <v>m3</v>
      </c>
    </row>
    <row r="52" spans="1:9" x14ac:dyDescent="0.3">
      <c r="B52" s="214" t="s">
        <v>441</v>
      </c>
      <c r="C52" s="217">
        <v>0</v>
      </c>
      <c r="D52" s="502">
        <v>2850155.1</v>
      </c>
      <c r="E52" s="215">
        <v>0</v>
      </c>
      <c r="F52" s="238">
        <f t="shared" si="0"/>
        <v>2850155.1</v>
      </c>
      <c r="G52" s="61" t="str">
        <f t="shared" si="1"/>
        <v>m3</v>
      </c>
    </row>
    <row r="53" spans="1:9" x14ac:dyDescent="0.3">
      <c r="E53" s="297" t="s">
        <v>606</v>
      </c>
      <c r="F53" s="244">
        <f>SUM(F29:F52)</f>
        <v>63336780</v>
      </c>
      <c r="G53" s="61" t="str">
        <f>IF(C$25="unit","",C$25)</f>
        <v>m3</v>
      </c>
    </row>
    <row r="55" spans="1:9" s="126" customFormat="1" x14ac:dyDescent="0.3">
      <c r="A55" s="6" t="s">
        <v>485</v>
      </c>
      <c r="B55" s="6"/>
      <c r="C55" s="6"/>
      <c r="D55" s="6"/>
      <c r="E55" s="6"/>
      <c r="F55" s="6"/>
      <c r="G55" s="6"/>
      <c r="H55" s="146"/>
      <c r="I55" s="146"/>
    </row>
    <row r="56" spans="1:9" x14ac:dyDescent="0.3">
      <c r="A56" s="15"/>
      <c r="B56" s="17"/>
      <c r="C56" s="15"/>
      <c r="D56" s="15"/>
      <c r="E56" s="15"/>
      <c r="F56" s="15"/>
      <c r="G56" s="15"/>
    </row>
    <row r="57" spans="1:9" ht="43.2" x14ac:dyDescent="0.3">
      <c r="B57" s="73" t="s">
        <v>607</v>
      </c>
      <c r="C57" s="10" t="s">
        <v>98</v>
      </c>
    </row>
    <row r="58" spans="1:9" ht="43.2" x14ac:dyDescent="0.3">
      <c r="B58" s="26" t="s">
        <v>608</v>
      </c>
      <c r="C58" s="520">
        <f>'ECCC Parameters'!K117*'ECCC Parameters'!D14</f>
        <v>38.388037815308898</v>
      </c>
      <c r="D58" s="100" t="str">
        <f>CONCATENATE($C$57," /", C25)</f>
        <v>MJ /m3</v>
      </c>
    </row>
    <row r="60" spans="1:9" s="6" customFormat="1" x14ac:dyDescent="0.3">
      <c r="A60" s="6" t="s">
        <v>488</v>
      </c>
      <c r="D60" s="20"/>
      <c r="H60" s="20"/>
      <c r="I60" s="20"/>
    </row>
    <row r="62" spans="1:9" x14ac:dyDescent="0.3">
      <c r="B62" s="135" t="s">
        <v>609</v>
      </c>
      <c r="C62" s="135" t="s">
        <v>610</v>
      </c>
      <c r="D62" s="135" t="s">
        <v>127</v>
      </c>
    </row>
    <row r="63" spans="1:9" ht="28.8" x14ac:dyDescent="0.3">
      <c r="B63" s="67" t="str">
        <f>C9</f>
        <v>Natural gas, gaseous</v>
      </c>
      <c r="C63" s="67">
        <f>C58*F53</f>
        <v>2431374705.7399001</v>
      </c>
      <c r="D63" s="125" t="str">
        <f>C57</f>
        <v>MJ</v>
      </c>
      <c r="E63" s="104" t="s">
        <v>575</v>
      </c>
      <c r="F63" s="28"/>
    </row>
    <row r="65" spans="2:2" x14ac:dyDescent="0.3">
      <c r="B65" s="274" t="s">
        <v>456</v>
      </c>
    </row>
  </sheetData>
  <customSheetViews>
    <customSheetView guid="{A8E9A491-4491-4848-9959-58297999E6F5}" scale="85" showGridLines="0">
      <selection activeCell="H22" sqref="H22:I22"/>
      <pageMargins left="0" right="0" top="0" bottom="0" header="0" footer="0"/>
      <pageSetup orientation="portrait" r:id="rId1"/>
    </customSheetView>
    <customSheetView guid="{CBE97499-8DE4-4834-9D9F-4D852DB24A20}" scale="85" showGridLines="0" topLeftCell="A37">
      <selection activeCell="C57" sqref="C57"/>
      <pageMargins left="0" right="0" top="0" bottom="0" header="0" footer="0"/>
      <pageSetup orientation="portrait" r:id="rId2"/>
    </customSheetView>
    <customSheetView guid="{BAC701C4-B534-4ABA-907B-FE30A3505B8B}" scale="85" showGridLines="0" topLeftCell="A25">
      <selection activeCell="H22" sqref="H22:I22"/>
      <pageMargins left="0" right="0" top="0" bottom="0" header="0" footer="0"/>
      <pageSetup orientation="portrait" r:id="rId3"/>
    </customSheetView>
    <customSheetView guid="{3F555A8F-379C-4D2D-833A-FF346FE5F044}" scale="85" showGridLines="0" topLeftCell="A37">
      <selection activeCell="C57" sqref="C57"/>
      <pageMargins left="0" right="0" top="0" bottom="0" header="0" footer="0"/>
      <pageSetup orientation="portrait" r:id="rId4"/>
    </customSheetView>
    <customSheetView guid="{61CEA325-629A-4670-A66B-4314E031BBF1}" scale="85" showGridLines="0">
      <selection activeCell="H22" sqref="H22:I22"/>
      <pageMargins left="0" right="0" top="0" bottom="0" header="0" footer="0"/>
      <pageSetup orientation="portrait" r:id="rId5"/>
    </customSheetView>
  </customSheetViews>
  <mergeCells count="6">
    <mergeCell ref="H27:I27"/>
    <mergeCell ref="D9:E9"/>
    <mergeCell ref="D10:E10"/>
    <mergeCell ref="D25:E25"/>
    <mergeCell ref="B28:E28"/>
    <mergeCell ref="D13:E13"/>
  </mergeCells>
  <hyperlinks>
    <hyperlink ref="B65" location="Allocation!A1" display="Allocation!A1" xr:uid="{00000000-0004-0000-0A00-000000000000}"/>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A00-000000000000}">
          <x14:formula1>
            <xm:f>Lists!$F$5:$F$7</xm:f>
          </x14:formula1>
          <xm:sqref>C18 C14</xm:sqref>
        </x14:dataValidation>
        <x14:dataValidation type="list" allowBlank="1" showInputMessage="1" showErrorMessage="1" xr:uid="{00000000-0002-0000-0A00-000001000000}">
          <x14:formula1>
            <xm:f>Lists!$AA$5:$AA$18</xm:f>
          </x14:formula1>
          <xm:sqref>C57</xm:sqref>
        </x14:dataValidation>
        <x14:dataValidation type="list" allowBlank="1" showInputMessage="1" showErrorMessage="1" xr:uid="{ADAD3C44-6486-425A-85FE-4754BE3E7E9F}">
          <x14:formula1>
            <xm:f>Lists!$O$5:$O$9</xm:f>
          </x14:formula1>
          <xm:sqref>C13</xm:sqref>
        </x14:dataValidation>
        <x14:dataValidation type="list" showInputMessage="1" showErrorMessage="1" xr:uid="{00000000-0002-0000-0A00-000002000000}">
          <x14:formula1>
            <xm:f>Lists!$N$5:$N$42</xm:f>
          </x14:formula1>
          <xm:sqref>C8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1:I71"/>
  <sheetViews>
    <sheetView showGridLines="0" topLeftCell="A33" zoomScale="85" zoomScaleNormal="85" workbookViewId="0">
      <selection activeCell="C50" sqref="C50"/>
    </sheetView>
  </sheetViews>
  <sheetFormatPr defaultColWidth="8.6640625" defaultRowHeight="14.4" x14ac:dyDescent="0.3"/>
  <cols>
    <col min="1" max="1" width="4" style="5" customWidth="1"/>
    <col min="2" max="2" width="36.44140625" style="5" customWidth="1"/>
    <col min="3" max="3" width="71.109375" style="5" customWidth="1"/>
    <col min="4" max="6" width="32.6640625" style="5" customWidth="1"/>
    <col min="7" max="7" width="33.109375" customWidth="1"/>
  </cols>
  <sheetData>
    <row r="1" spans="1:6" x14ac:dyDescent="0.3">
      <c r="A1" s="347"/>
    </row>
    <row r="2" spans="1:6" x14ac:dyDescent="0.3">
      <c r="A2" s="96" t="s">
        <v>586</v>
      </c>
    </row>
    <row r="3" spans="1:6" x14ac:dyDescent="0.3">
      <c r="A3" s="66" t="s">
        <v>611</v>
      </c>
      <c r="D3" s="15"/>
    </row>
    <row r="4" spans="1:6" x14ac:dyDescent="0.3">
      <c r="A4" s="66" t="s">
        <v>612</v>
      </c>
      <c r="D4" s="15"/>
    </row>
    <row r="5" spans="1:6" x14ac:dyDescent="0.3">
      <c r="A5" s="66" t="s">
        <v>613</v>
      </c>
    </row>
    <row r="7" spans="1:6" s="6" customFormat="1" x14ac:dyDescent="0.3">
      <c r="A7" s="6" t="s">
        <v>356</v>
      </c>
    </row>
    <row r="8" spans="1:6" x14ac:dyDescent="0.3">
      <c r="B8" s="28"/>
    </row>
    <row r="9" spans="1:6" ht="28.5" customHeight="1" x14ac:dyDescent="0.3">
      <c r="B9" s="80" t="s">
        <v>614</v>
      </c>
      <c r="C9" s="24" t="s">
        <v>615</v>
      </c>
      <c r="D9" s="689"/>
      <c r="E9" s="690"/>
    </row>
    <row r="10" spans="1:6" x14ac:dyDescent="0.3">
      <c r="B10" s="80" t="s">
        <v>616</v>
      </c>
      <c r="C10" s="114" t="str">
        <f>IF(C9="Select electricity input","",IF(C9="Purchased electricity from grid",IF(C11="Configurable unit process", CONCATENATE(C9," (",C23,")"), CONCATENATE(C9," (",C15,")")), IF(C9="Low-CI electricity (produced on site or RECs-PPA)",CONCATENATE(C9," (",C18,")"),IF(C9="Excess electricity sold to the grid",CONCATENATE(C9," (",C15,")"),CONCATENATE(C9," (",C15,")")))))</f>
        <v>Purchased electricity from grid (Canada/ON)</v>
      </c>
      <c r="D10" s="691" t="s">
        <v>464</v>
      </c>
      <c r="E10" s="691"/>
    </row>
    <row r="11" spans="1:6" s="5" customFormat="1" x14ac:dyDescent="0.3">
      <c r="B11" s="80" t="s">
        <v>617</v>
      </c>
      <c r="C11" s="24" t="s">
        <v>367</v>
      </c>
      <c r="D11" s="28"/>
      <c r="F11" s="21"/>
    </row>
    <row r="12" spans="1:6" x14ac:dyDescent="0.3">
      <c r="A12"/>
      <c r="B12" s="80" t="s">
        <v>27</v>
      </c>
      <c r="C12" s="48"/>
      <c r="E12"/>
      <c r="F12"/>
    </row>
    <row r="14" spans="1:6" x14ac:dyDescent="0.3">
      <c r="B14" s="25" t="s">
        <v>618</v>
      </c>
      <c r="C14" s="25"/>
    </row>
    <row r="15" spans="1:6" ht="32.25" customHeight="1" x14ac:dyDescent="0.3">
      <c r="B15" s="80" t="s">
        <v>619</v>
      </c>
      <c r="C15" s="9" t="s">
        <v>620</v>
      </c>
      <c r="D15" s="694" t="s">
        <v>621</v>
      </c>
      <c r="E15" s="695"/>
    </row>
    <row r="17" spans="1:9" s="5" customFormat="1" x14ac:dyDescent="0.3">
      <c r="B17" s="486" t="s">
        <v>622</v>
      </c>
      <c r="C17" s="25"/>
      <c r="D17" s="25"/>
    </row>
    <row r="18" spans="1:9" s="5" customFormat="1" ht="28.8" x14ac:dyDescent="0.3">
      <c r="B18" s="80" t="s">
        <v>623</v>
      </c>
      <c r="C18" s="9" t="s">
        <v>624</v>
      </c>
    </row>
    <row r="19" spans="1:9" s="5" customFormat="1" x14ac:dyDescent="0.3"/>
    <row r="20" spans="1:9" s="5" customFormat="1" x14ac:dyDescent="0.3">
      <c r="B20" s="25" t="s">
        <v>625</v>
      </c>
    </row>
    <row r="21" spans="1:9" s="5" customFormat="1" ht="28.8" x14ac:dyDescent="0.3">
      <c r="B21" s="80" t="s">
        <v>626</v>
      </c>
      <c r="C21" s="9"/>
      <c r="D21" s="23"/>
      <c r="F21" s="21"/>
    </row>
    <row r="22" spans="1:9" s="5" customFormat="1" ht="28.8" x14ac:dyDescent="0.3">
      <c r="B22" s="92" t="s">
        <v>627</v>
      </c>
      <c r="C22" s="9"/>
      <c r="D22" s="23"/>
      <c r="F22" s="21"/>
    </row>
    <row r="23" spans="1:9" s="5" customFormat="1" ht="28.8" x14ac:dyDescent="0.3">
      <c r="B23" s="80" t="s">
        <v>628</v>
      </c>
      <c r="C23" s="9"/>
      <c r="D23" s="23"/>
      <c r="F23" s="21"/>
    </row>
    <row r="24" spans="1:9" s="5" customFormat="1" x14ac:dyDescent="0.3">
      <c r="B24" s="3"/>
      <c r="C24" s="15"/>
      <c r="D24" s="23"/>
      <c r="F24" s="21"/>
    </row>
    <row r="25" spans="1:9" s="5" customFormat="1" x14ac:dyDescent="0.3">
      <c r="B25" s="25" t="s">
        <v>596</v>
      </c>
      <c r="C25" s="25"/>
      <c r="D25" s="25"/>
      <c r="H25" s="21"/>
      <c r="I25" s="21"/>
    </row>
    <row r="26" spans="1:9" s="5" customFormat="1" ht="28.8" x14ac:dyDescent="0.3">
      <c r="B26" s="80" t="s">
        <v>597</v>
      </c>
      <c r="C26" s="9"/>
      <c r="H26" s="21"/>
      <c r="I26" s="21"/>
    </row>
    <row r="27" spans="1:9" s="5" customFormat="1" x14ac:dyDescent="0.3">
      <c r="B27" s="80" t="s">
        <v>598</v>
      </c>
      <c r="C27" s="9"/>
      <c r="H27" s="21"/>
      <c r="I27" s="21"/>
    </row>
    <row r="28" spans="1:9" s="5" customFormat="1" x14ac:dyDescent="0.3">
      <c r="B28" s="23"/>
      <c r="C28" s="23"/>
      <c r="D28" s="23"/>
      <c r="F28" s="21"/>
    </row>
    <row r="29" spans="1:9" s="6" customFormat="1" x14ac:dyDescent="0.3">
      <c r="A29" s="6" t="s">
        <v>629</v>
      </c>
    </row>
    <row r="30" spans="1:9" s="32" customFormat="1" x14ac:dyDescent="0.3"/>
    <row r="31" spans="1:9" ht="28.8" x14ac:dyDescent="0.3">
      <c r="B31" s="80" t="s">
        <v>630</v>
      </c>
      <c r="C31" s="9" t="s">
        <v>101</v>
      </c>
      <c r="D31" s="692" t="s">
        <v>631</v>
      </c>
      <c r="E31" s="693"/>
    </row>
    <row r="32" spans="1:9" s="32" customFormat="1" x14ac:dyDescent="0.3"/>
    <row r="33" spans="2:7" s="11" customFormat="1" ht="45" customHeight="1" x14ac:dyDescent="0.3">
      <c r="B33" s="105" t="s">
        <v>632</v>
      </c>
      <c r="C33" s="105" t="s">
        <v>633</v>
      </c>
      <c r="D33" s="85" t="s">
        <v>127</v>
      </c>
      <c r="E33" s="696" t="s">
        <v>634</v>
      </c>
      <c r="F33" s="696"/>
      <c r="G33" s="696"/>
    </row>
    <row r="34" spans="2:7" s="11" customFormat="1" x14ac:dyDescent="0.3">
      <c r="B34" s="672" t="s">
        <v>417</v>
      </c>
      <c r="C34" s="674"/>
      <c r="D34" s="87"/>
      <c r="E34" s="348"/>
      <c r="F34" s="348"/>
    </row>
    <row r="35" spans="2:7" s="5" customFormat="1" x14ac:dyDescent="0.3">
      <c r="B35" s="214" t="s">
        <v>418</v>
      </c>
      <c r="C35" s="520">
        <v>2720000.8499999996</v>
      </c>
      <c r="D35" s="61" t="str">
        <f>IF($C$31="Unit","",$C$31)</f>
        <v>kWh</v>
      </c>
    </row>
    <row r="36" spans="2:7" s="5" customFormat="1" x14ac:dyDescent="0.3">
      <c r="B36" s="214" t="s">
        <v>419</v>
      </c>
      <c r="C36" s="520">
        <v>2880000.9000000004</v>
      </c>
      <c r="D36" s="61" t="str">
        <f t="shared" ref="D36:D58" si="0">IF($C$31="Unit","",$C$31)</f>
        <v>kWh</v>
      </c>
    </row>
    <row r="37" spans="2:7" s="5" customFormat="1" x14ac:dyDescent="0.3">
      <c r="B37" s="214" t="s">
        <v>420</v>
      </c>
      <c r="C37" s="520">
        <v>3104000.9699999997</v>
      </c>
      <c r="D37" s="61" t="str">
        <f t="shared" si="0"/>
        <v>kWh</v>
      </c>
    </row>
    <row r="38" spans="2:7" s="5" customFormat="1" x14ac:dyDescent="0.3">
      <c r="B38" s="214" t="s">
        <v>421</v>
      </c>
      <c r="C38" s="520">
        <v>3168000.99</v>
      </c>
      <c r="D38" s="61" t="str">
        <f t="shared" si="0"/>
        <v>kWh</v>
      </c>
    </row>
    <row r="39" spans="2:7" s="5" customFormat="1" x14ac:dyDescent="0.3">
      <c r="B39" s="214" t="s">
        <v>422</v>
      </c>
      <c r="C39" s="520">
        <v>2784000.87</v>
      </c>
      <c r="D39" s="61" t="str">
        <f t="shared" si="0"/>
        <v>kWh</v>
      </c>
    </row>
    <row r="40" spans="2:7" s="5" customFormat="1" x14ac:dyDescent="0.3">
      <c r="B40" s="214" t="s">
        <v>423</v>
      </c>
      <c r="C40" s="520">
        <v>2752000.86</v>
      </c>
      <c r="D40" s="61" t="str">
        <f t="shared" si="0"/>
        <v>kWh</v>
      </c>
    </row>
    <row r="41" spans="2:7" s="5" customFormat="1" x14ac:dyDescent="0.3">
      <c r="B41" s="214" t="s">
        <v>424</v>
      </c>
      <c r="C41" s="520">
        <v>2976000.93</v>
      </c>
      <c r="D41" s="61" t="str">
        <f t="shared" si="0"/>
        <v>kWh</v>
      </c>
    </row>
    <row r="42" spans="2:7" s="5" customFormat="1" x14ac:dyDescent="0.3">
      <c r="B42" s="214" t="s">
        <v>425</v>
      </c>
      <c r="C42" s="520">
        <v>3040000.9499999997</v>
      </c>
      <c r="D42" s="61" t="str">
        <f t="shared" si="0"/>
        <v>kWh</v>
      </c>
    </row>
    <row r="43" spans="2:7" s="5" customFormat="1" x14ac:dyDescent="0.3">
      <c r="B43" s="214" t="s">
        <v>426</v>
      </c>
      <c r="C43" s="520">
        <v>2912000.91</v>
      </c>
      <c r="D43" s="61" t="str">
        <f t="shared" si="0"/>
        <v>kWh</v>
      </c>
    </row>
    <row r="44" spans="2:7" s="5" customFormat="1" x14ac:dyDescent="0.3">
      <c r="B44" s="214" t="s">
        <v>427</v>
      </c>
      <c r="C44" s="520">
        <v>2848000.89</v>
      </c>
      <c r="D44" s="61" t="str">
        <f t="shared" si="0"/>
        <v>kWh</v>
      </c>
    </row>
    <row r="45" spans="2:7" s="5" customFormat="1" x14ac:dyDescent="0.3">
      <c r="B45" s="214" t="s">
        <v>428</v>
      </c>
      <c r="C45" s="520">
        <v>3136000.98</v>
      </c>
      <c r="D45" s="61" t="str">
        <f t="shared" si="0"/>
        <v>kWh</v>
      </c>
    </row>
    <row r="46" spans="2:7" s="5" customFormat="1" x14ac:dyDescent="0.3">
      <c r="B46" s="214" t="s">
        <v>429</v>
      </c>
      <c r="C46" s="520">
        <v>2944000.92</v>
      </c>
      <c r="D46" s="61" t="str">
        <f t="shared" si="0"/>
        <v>kWh</v>
      </c>
    </row>
    <row r="47" spans="2:7" s="5" customFormat="1" x14ac:dyDescent="0.3">
      <c r="B47" s="214" t="s">
        <v>430</v>
      </c>
      <c r="C47" s="520">
        <v>3680001.1499999994</v>
      </c>
      <c r="D47" s="61" t="str">
        <f t="shared" si="0"/>
        <v>kWh</v>
      </c>
    </row>
    <row r="48" spans="2:7" s="5" customFormat="1" x14ac:dyDescent="0.3">
      <c r="B48" s="214" t="s">
        <v>431</v>
      </c>
      <c r="C48" s="520">
        <v>3520001.1000000006</v>
      </c>
      <c r="D48" s="61" t="str">
        <f t="shared" si="0"/>
        <v>kWh</v>
      </c>
    </row>
    <row r="49" spans="1:6" s="5" customFormat="1" x14ac:dyDescent="0.3">
      <c r="B49" s="214" t="s">
        <v>432</v>
      </c>
      <c r="C49" s="520">
        <v>3296001.0300000003</v>
      </c>
      <c r="D49" s="61" t="str">
        <f t="shared" si="0"/>
        <v>kWh</v>
      </c>
    </row>
    <row r="50" spans="1:6" s="5" customFormat="1" x14ac:dyDescent="0.3">
      <c r="B50" s="214" t="s">
        <v>433</v>
      </c>
      <c r="C50" s="520">
        <v>3232001.01</v>
      </c>
      <c r="D50" s="61" t="str">
        <f t="shared" si="0"/>
        <v>kWh</v>
      </c>
    </row>
    <row r="51" spans="1:6" s="5" customFormat="1" x14ac:dyDescent="0.3">
      <c r="B51" s="214" t="s">
        <v>434</v>
      </c>
      <c r="C51" s="520">
        <v>3616001.13</v>
      </c>
      <c r="D51" s="61" t="str">
        <f t="shared" si="0"/>
        <v>kWh</v>
      </c>
    </row>
    <row r="52" spans="1:6" s="5" customFormat="1" x14ac:dyDescent="0.3">
      <c r="B52" s="214" t="s">
        <v>435</v>
      </c>
      <c r="C52" s="520">
        <v>3648001.1400000006</v>
      </c>
      <c r="D52" s="61" t="str">
        <f t="shared" si="0"/>
        <v>kWh</v>
      </c>
    </row>
    <row r="53" spans="1:6" s="5" customFormat="1" x14ac:dyDescent="0.3">
      <c r="B53" s="214" t="s">
        <v>436</v>
      </c>
      <c r="C53" s="520">
        <v>3424001.07</v>
      </c>
      <c r="D53" s="61" t="str">
        <f t="shared" si="0"/>
        <v>kWh</v>
      </c>
    </row>
    <row r="54" spans="1:6" s="5" customFormat="1" x14ac:dyDescent="0.3">
      <c r="B54" s="214" t="s">
        <v>437</v>
      </c>
      <c r="C54" s="520">
        <v>3360001.0500000003</v>
      </c>
      <c r="D54" s="61" t="str">
        <f t="shared" si="0"/>
        <v>kWh</v>
      </c>
    </row>
    <row r="55" spans="1:6" s="5" customFormat="1" x14ac:dyDescent="0.3">
      <c r="B55" s="214" t="s">
        <v>438</v>
      </c>
      <c r="C55" s="520">
        <v>3488001.0899999994</v>
      </c>
      <c r="D55" s="61" t="str">
        <f t="shared" si="0"/>
        <v>kWh</v>
      </c>
    </row>
    <row r="56" spans="1:6" s="5" customFormat="1" x14ac:dyDescent="0.3">
      <c r="B56" s="214" t="s">
        <v>439</v>
      </c>
      <c r="C56" s="520">
        <v>3552001.1099999994</v>
      </c>
      <c r="D56" s="61" t="str">
        <f t="shared" si="0"/>
        <v>kWh</v>
      </c>
    </row>
    <row r="57" spans="1:6" s="5" customFormat="1" x14ac:dyDescent="0.3">
      <c r="B57" s="214" t="s">
        <v>440</v>
      </c>
      <c r="C57" s="520">
        <v>3264001.0200000005</v>
      </c>
      <c r="D57" s="61" t="str">
        <f t="shared" si="0"/>
        <v>kWh</v>
      </c>
    </row>
    <row r="58" spans="1:6" s="5" customFormat="1" x14ac:dyDescent="0.3">
      <c r="B58" s="214" t="s">
        <v>441</v>
      </c>
      <c r="C58" s="520">
        <v>3456001.08</v>
      </c>
      <c r="D58" s="61" t="str">
        <f t="shared" si="0"/>
        <v>kWh</v>
      </c>
    </row>
    <row r="59" spans="1:6" s="5" customFormat="1" x14ac:dyDescent="0.3">
      <c r="B59" s="111" t="s">
        <v>606</v>
      </c>
      <c r="C59" s="337">
        <f>SUM(C35:C58)</f>
        <v>76800023.999999985</v>
      </c>
      <c r="D59" s="202" t="str">
        <f>IF($C$31="Unit","",$C$31)</f>
        <v>kWh</v>
      </c>
    </row>
    <row r="61" spans="1:6" s="6" customFormat="1" x14ac:dyDescent="0.3">
      <c r="A61" s="6" t="s">
        <v>635</v>
      </c>
      <c r="D61" s="20"/>
    </row>
    <row r="62" spans="1:6" x14ac:dyDescent="0.3">
      <c r="A62" s="15"/>
      <c r="B62" s="17"/>
      <c r="C62" s="15"/>
      <c r="D62" s="15"/>
      <c r="E62" s="15"/>
      <c r="F62" s="15"/>
    </row>
    <row r="63" spans="1:6" ht="43.2" x14ac:dyDescent="0.3">
      <c r="B63" s="80" t="s">
        <v>636</v>
      </c>
      <c r="C63" s="10" t="s">
        <v>101</v>
      </c>
    </row>
    <row r="64" spans="1:6" ht="43.2" x14ac:dyDescent="0.3">
      <c r="B64" s="92" t="s">
        <v>608</v>
      </c>
      <c r="C64" s="521">
        <f>'ECCC Parameters'!G29</f>
        <v>1</v>
      </c>
      <c r="D64" s="100" t="str">
        <f>CONCATENATE($C$63," /", $C$31)</f>
        <v>kWh /kWh</v>
      </c>
      <c r="F64" s="28"/>
    </row>
    <row r="66" spans="1:6" s="6" customFormat="1" x14ac:dyDescent="0.3">
      <c r="A66" s="6" t="s">
        <v>488</v>
      </c>
      <c r="D66" s="20"/>
    </row>
    <row r="67" spans="1:6" x14ac:dyDescent="0.3">
      <c r="A67" s="15"/>
    </row>
    <row r="68" spans="1:6" x14ac:dyDescent="0.3">
      <c r="B68" s="135" t="s">
        <v>616</v>
      </c>
      <c r="C68" s="135" t="s">
        <v>610</v>
      </c>
      <c r="D68" s="135" t="s">
        <v>127</v>
      </c>
    </row>
    <row r="69" spans="1:6" ht="43.2" x14ac:dyDescent="0.3">
      <c r="B69" s="252" t="str">
        <f>IF($C$10="","",$C$10)</f>
        <v>Purchased electricity from grid (Canada/ON)</v>
      </c>
      <c r="C69" s="67">
        <f>C64*C59</f>
        <v>76800023.999999985</v>
      </c>
      <c r="D69" s="67" t="str">
        <f>C63</f>
        <v>kWh</v>
      </c>
      <c r="E69" s="104" t="s">
        <v>575</v>
      </c>
      <c r="F69" s="28"/>
    </row>
    <row r="71" spans="1:6" x14ac:dyDescent="0.3">
      <c r="B71" s="274" t="s">
        <v>456</v>
      </c>
    </row>
  </sheetData>
  <customSheetViews>
    <customSheetView guid="{A8E9A491-4491-4848-9959-58297999E6F5}" showGridLines="0" topLeftCell="A7">
      <selection activeCell="E63" sqref="E63"/>
      <pageMargins left="0" right="0" top="0" bottom="0" header="0" footer="0"/>
      <pageSetup orientation="portrait" r:id="rId1"/>
    </customSheetView>
    <customSheetView guid="{CBE97499-8DE4-4834-9D9F-4D852DB24A20}" showGridLines="0" topLeftCell="A49">
      <selection activeCell="C63" sqref="C63"/>
      <pageMargins left="0" right="0" top="0" bottom="0" header="0" footer="0"/>
      <pageSetup orientation="portrait" r:id="rId2"/>
    </customSheetView>
    <customSheetView guid="{BAC701C4-B534-4ABA-907B-FE30A3505B8B}" showGridLines="0" topLeftCell="A43">
      <selection activeCell="E63" sqref="E63"/>
      <pageMargins left="0" right="0" top="0" bottom="0" header="0" footer="0"/>
      <pageSetup orientation="portrait" r:id="rId3"/>
    </customSheetView>
    <customSheetView guid="{3F555A8F-379C-4D2D-833A-FF346FE5F044}" showGridLines="0" topLeftCell="A49">
      <selection activeCell="C63" sqref="C63"/>
      <pageMargins left="0" right="0" top="0" bottom="0" header="0" footer="0"/>
      <pageSetup orientation="portrait" r:id="rId4"/>
    </customSheetView>
    <customSheetView guid="{61CEA325-629A-4670-A66B-4314E031BBF1}" showGridLines="0" topLeftCell="A7">
      <selection activeCell="E63" sqref="E63"/>
      <pageMargins left="0" right="0" top="0" bottom="0" header="0" footer="0"/>
      <pageSetup orientation="portrait" r:id="rId5"/>
    </customSheetView>
  </customSheetViews>
  <mergeCells count="6">
    <mergeCell ref="D9:E9"/>
    <mergeCell ref="B34:C34"/>
    <mergeCell ref="D10:E10"/>
    <mergeCell ref="D31:E31"/>
    <mergeCell ref="D15:E15"/>
    <mergeCell ref="E33:G33"/>
  </mergeCells>
  <hyperlinks>
    <hyperlink ref="B71" location="Allocation!A1" display="Allocation!A1" xr:uid="{00000000-0004-0000-0B00-000000000000}"/>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B00-000000000000}">
          <x14:formula1>
            <xm:f>Lists!$AA$5:$AA$18</xm:f>
          </x14:formula1>
          <xm:sqref>C63</xm:sqref>
        </x14:dataValidation>
        <x14:dataValidation type="list" allowBlank="1" showInputMessage="1" showErrorMessage="1" xr:uid="{00000000-0002-0000-0B00-000001000000}">
          <x14:formula1>
            <xm:f>Lists!$R$5:$R$8</xm:f>
          </x14:formula1>
          <xm:sqref>C9</xm:sqref>
        </x14:dataValidation>
        <x14:dataValidation type="list" allowBlank="1" showInputMessage="1" showErrorMessage="1" xr:uid="{00000000-0002-0000-0B00-000002000000}">
          <x14:formula1>
            <xm:f>Lists!$G$5:$G$8</xm:f>
          </x14:formula1>
          <xm:sqref>C11</xm:sqref>
        </x14:dataValidation>
        <x14:dataValidation type="list" allowBlank="1" showInputMessage="1" showErrorMessage="1" xr:uid="{00000000-0002-0000-0B00-000003000000}">
          <x14:formula1>
            <xm:f>Lists!$V$5:$V$84</xm:f>
          </x14:formula1>
          <xm:sqref>C19</xm:sqref>
        </x14:dataValidation>
        <x14:dataValidation type="list" allowBlank="1" showInputMessage="1" showErrorMessage="1" xr:uid="{00000000-0002-0000-0B00-000004000000}">
          <x14:formula1>
            <xm:f>Lists!$V$5:$V$73</xm:f>
          </x14:formula1>
          <xm:sqref>C15</xm:sqref>
        </x14:dataValidation>
        <x14:dataValidation type="list" allowBlank="1" showInputMessage="1" showErrorMessage="1" xr:uid="{00000000-0002-0000-0B00-000005000000}">
          <x14:formula1>
            <xm:f>Lists!$S$5:$S$13</xm:f>
          </x14:formula1>
          <xm:sqref>C18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E92E-0C72-4F1E-A9C9-4495331DB5A3}">
  <sheetPr>
    <tabColor theme="5" tint="0.39997558519241921"/>
  </sheetPr>
  <dimension ref="A1:I71"/>
  <sheetViews>
    <sheetView showGridLines="0" topLeftCell="A49" zoomScale="85" zoomScaleNormal="85" workbookViewId="0">
      <selection activeCell="C44" sqref="C44"/>
    </sheetView>
  </sheetViews>
  <sheetFormatPr defaultColWidth="8.6640625" defaultRowHeight="14.4" x14ac:dyDescent="0.3"/>
  <cols>
    <col min="1" max="1" width="4" style="5" customWidth="1"/>
    <col min="2" max="2" width="36.44140625" style="5" customWidth="1"/>
    <col min="3" max="3" width="71.109375" style="5" customWidth="1"/>
    <col min="4" max="6" width="32.6640625" style="5" customWidth="1"/>
    <col min="7" max="7" width="33.109375" customWidth="1"/>
  </cols>
  <sheetData>
    <row r="1" spans="1:6" x14ac:dyDescent="0.3">
      <c r="A1" s="347"/>
    </row>
    <row r="2" spans="1:6" x14ac:dyDescent="0.3">
      <c r="A2" s="96" t="s">
        <v>586</v>
      </c>
    </row>
    <row r="3" spans="1:6" x14ac:dyDescent="0.3">
      <c r="A3" s="66" t="s">
        <v>611</v>
      </c>
      <c r="D3" s="15"/>
    </row>
    <row r="4" spans="1:6" x14ac:dyDescent="0.3">
      <c r="A4" s="66" t="s">
        <v>612</v>
      </c>
      <c r="D4" s="15"/>
    </row>
    <row r="5" spans="1:6" x14ac:dyDescent="0.3">
      <c r="A5" s="66" t="s">
        <v>613</v>
      </c>
    </row>
    <row r="7" spans="1:6" s="6" customFormat="1" x14ac:dyDescent="0.3">
      <c r="A7" s="6" t="s">
        <v>356</v>
      </c>
    </row>
    <row r="8" spans="1:6" x14ac:dyDescent="0.3">
      <c r="B8" s="28"/>
    </row>
    <row r="9" spans="1:6" ht="28.5" customHeight="1" x14ac:dyDescent="0.3">
      <c r="B9" s="80" t="s">
        <v>614</v>
      </c>
      <c r="C9" s="24" t="s">
        <v>637</v>
      </c>
      <c r="D9" s="689"/>
      <c r="E9" s="690"/>
    </row>
    <row r="10" spans="1:6" x14ac:dyDescent="0.3">
      <c r="B10" s="80" t="s">
        <v>616</v>
      </c>
      <c r="C10" s="114" t="str">
        <f>IF(C9="Select electricity input","",IF(C9="Purchased electricity from grid",IF(C11="Configurable unit process", CONCATENATE(C9," (",C23,")"), CONCATENATE(C9," (",C15,")")), IF(C9="Low-CI electricity (produced on site or RECs-PPA)",CONCATENATE(C9," (",C18,")"),IF(C9="Excess electricity sold to the grid",CONCATENATE(C9," (",C15,")"),CONCATENATE(C9," (",C15,")")))))</f>
        <v>Low-CI electricity (produced on-site or RECs-PPA) (Select grid)</v>
      </c>
      <c r="D10" s="691" t="s">
        <v>464</v>
      </c>
      <c r="E10" s="691"/>
    </row>
    <row r="11" spans="1:6" s="5" customFormat="1" x14ac:dyDescent="0.3">
      <c r="B11" s="80" t="s">
        <v>617</v>
      </c>
      <c r="C11" s="24" t="s">
        <v>367</v>
      </c>
      <c r="D11" s="28"/>
      <c r="F11" s="21"/>
    </row>
    <row r="12" spans="1:6" x14ac:dyDescent="0.3">
      <c r="A12"/>
      <c r="B12" s="80" t="s">
        <v>27</v>
      </c>
      <c r="C12" s="48"/>
      <c r="E12"/>
      <c r="F12"/>
    </row>
    <row r="14" spans="1:6" x14ac:dyDescent="0.3">
      <c r="B14" s="25" t="s">
        <v>618</v>
      </c>
      <c r="C14" s="25"/>
    </row>
    <row r="15" spans="1:6" ht="32.25" customHeight="1" x14ac:dyDescent="0.3">
      <c r="B15" s="80" t="s">
        <v>619</v>
      </c>
      <c r="C15" s="9" t="s">
        <v>638</v>
      </c>
      <c r="D15" s="694" t="s">
        <v>621</v>
      </c>
      <c r="E15" s="695"/>
    </row>
    <row r="17" spans="1:9" s="5" customFormat="1" x14ac:dyDescent="0.3">
      <c r="B17" s="486" t="s">
        <v>622</v>
      </c>
      <c r="C17" s="25"/>
      <c r="D17" s="25"/>
    </row>
    <row r="18" spans="1:9" s="5" customFormat="1" ht="28.8" x14ac:dyDescent="0.3">
      <c r="B18" s="80" t="s">
        <v>623</v>
      </c>
      <c r="C18" s="9" t="s">
        <v>639</v>
      </c>
    </row>
    <row r="19" spans="1:9" s="5" customFormat="1" x14ac:dyDescent="0.3"/>
    <row r="20" spans="1:9" s="5" customFormat="1" x14ac:dyDescent="0.3">
      <c r="B20" s="25" t="s">
        <v>625</v>
      </c>
    </row>
    <row r="21" spans="1:9" s="5" customFormat="1" ht="28.8" x14ac:dyDescent="0.3">
      <c r="B21" s="80" t="s">
        <v>626</v>
      </c>
      <c r="C21" s="9"/>
      <c r="D21" s="23"/>
      <c r="F21" s="21"/>
    </row>
    <row r="22" spans="1:9" s="5" customFormat="1" ht="28.8" x14ac:dyDescent="0.3">
      <c r="B22" s="92" t="s">
        <v>627</v>
      </c>
      <c r="C22" s="9"/>
      <c r="D22" s="23"/>
      <c r="F22" s="21"/>
    </row>
    <row r="23" spans="1:9" s="5" customFormat="1" ht="28.8" x14ac:dyDescent="0.3">
      <c r="B23" s="80" t="s">
        <v>628</v>
      </c>
      <c r="C23" s="9"/>
      <c r="D23" s="23"/>
      <c r="F23" s="21"/>
    </row>
    <row r="24" spans="1:9" s="5" customFormat="1" x14ac:dyDescent="0.3">
      <c r="B24" s="3"/>
      <c r="C24" s="15"/>
      <c r="D24" s="23"/>
      <c r="F24" s="21"/>
    </row>
    <row r="25" spans="1:9" s="5" customFormat="1" x14ac:dyDescent="0.3">
      <c r="B25" s="25" t="s">
        <v>596</v>
      </c>
      <c r="C25" s="25"/>
      <c r="D25" s="25"/>
      <c r="H25" s="21"/>
      <c r="I25" s="21"/>
    </row>
    <row r="26" spans="1:9" s="5" customFormat="1" ht="28.8" x14ac:dyDescent="0.3">
      <c r="B26" s="80" t="s">
        <v>597</v>
      </c>
      <c r="C26" s="9"/>
      <c r="H26" s="21"/>
      <c r="I26" s="21"/>
    </row>
    <row r="27" spans="1:9" s="5" customFormat="1" x14ac:dyDescent="0.3">
      <c r="B27" s="80" t="s">
        <v>598</v>
      </c>
      <c r="C27" s="9"/>
      <c r="H27" s="21"/>
      <c r="I27" s="21"/>
    </row>
    <row r="28" spans="1:9" s="5" customFormat="1" x14ac:dyDescent="0.3">
      <c r="B28" s="23"/>
      <c r="C28" s="23"/>
      <c r="D28" s="23"/>
      <c r="F28" s="21"/>
    </row>
    <row r="29" spans="1:9" s="6" customFormat="1" x14ac:dyDescent="0.3">
      <c r="A29" s="6" t="s">
        <v>629</v>
      </c>
    </row>
    <row r="30" spans="1:9" s="32" customFormat="1" x14ac:dyDescent="0.3"/>
    <row r="31" spans="1:9" ht="28.8" x14ac:dyDescent="0.3">
      <c r="B31" s="80" t="s">
        <v>630</v>
      </c>
      <c r="C31" s="9" t="s">
        <v>101</v>
      </c>
      <c r="D31" s="692" t="s">
        <v>631</v>
      </c>
      <c r="E31" s="693"/>
    </row>
    <row r="32" spans="1:9" s="32" customFormat="1" x14ac:dyDescent="0.3"/>
    <row r="33" spans="2:7" s="11" customFormat="1" ht="45" customHeight="1" x14ac:dyDescent="0.3">
      <c r="B33" s="105" t="s">
        <v>632</v>
      </c>
      <c r="C33" s="105" t="s">
        <v>633</v>
      </c>
      <c r="D33" s="85" t="s">
        <v>127</v>
      </c>
      <c r="E33" s="696" t="s">
        <v>634</v>
      </c>
      <c r="F33" s="696"/>
      <c r="G33" s="696"/>
    </row>
    <row r="34" spans="2:7" s="11" customFormat="1" x14ac:dyDescent="0.3">
      <c r="B34" s="672" t="s">
        <v>417</v>
      </c>
      <c r="C34" s="674"/>
      <c r="D34" s="87"/>
      <c r="E34" s="348"/>
      <c r="F34" s="348"/>
    </row>
    <row r="35" spans="2:7" s="5" customFormat="1" x14ac:dyDescent="0.3">
      <c r="B35" s="214" t="s">
        <v>418</v>
      </c>
      <c r="C35" s="217">
        <v>295.8</v>
      </c>
      <c r="D35" s="61" t="str">
        <f>IF($C$31="Unit","",$C$31)</f>
        <v>kWh</v>
      </c>
    </row>
    <row r="36" spans="2:7" s="5" customFormat="1" x14ac:dyDescent="0.3">
      <c r="B36" s="214" t="s">
        <v>419</v>
      </c>
      <c r="C36" s="217">
        <v>313.2</v>
      </c>
      <c r="D36" s="61" t="str">
        <f t="shared" ref="D36:D58" si="0">IF($C$31="Unit","",$C$31)</f>
        <v>kWh</v>
      </c>
    </row>
    <row r="37" spans="2:7" s="5" customFormat="1" x14ac:dyDescent="0.3">
      <c r="B37" s="214" t="s">
        <v>420</v>
      </c>
      <c r="C37" s="217">
        <v>337.56</v>
      </c>
      <c r="D37" s="61" t="str">
        <f t="shared" si="0"/>
        <v>kWh</v>
      </c>
    </row>
    <row r="38" spans="2:7" s="5" customFormat="1" x14ac:dyDescent="0.3">
      <c r="B38" s="214" t="s">
        <v>421</v>
      </c>
      <c r="C38" s="217">
        <v>344.52</v>
      </c>
      <c r="D38" s="61" t="str">
        <f t="shared" si="0"/>
        <v>kWh</v>
      </c>
    </row>
    <row r="39" spans="2:7" s="5" customFormat="1" x14ac:dyDescent="0.3">
      <c r="B39" s="214" t="s">
        <v>422</v>
      </c>
      <c r="C39" s="217">
        <v>302.76</v>
      </c>
      <c r="D39" s="61" t="str">
        <f t="shared" si="0"/>
        <v>kWh</v>
      </c>
    </row>
    <row r="40" spans="2:7" s="5" customFormat="1" x14ac:dyDescent="0.3">
      <c r="B40" s="214" t="s">
        <v>423</v>
      </c>
      <c r="C40" s="217">
        <v>299.27999999999997</v>
      </c>
      <c r="D40" s="61" t="str">
        <f t="shared" si="0"/>
        <v>kWh</v>
      </c>
    </row>
    <row r="41" spans="2:7" s="5" customFormat="1" x14ac:dyDescent="0.3">
      <c r="B41" s="214" t="s">
        <v>424</v>
      </c>
      <c r="C41" s="217">
        <v>323.64000000000004</v>
      </c>
      <c r="D41" s="61" t="str">
        <f t="shared" si="0"/>
        <v>kWh</v>
      </c>
    </row>
    <row r="42" spans="2:7" s="5" customFormat="1" x14ac:dyDescent="0.3">
      <c r="B42" s="214" t="s">
        <v>425</v>
      </c>
      <c r="C42" s="217">
        <v>330.59999999999997</v>
      </c>
      <c r="D42" s="61" t="str">
        <f t="shared" si="0"/>
        <v>kWh</v>
      </c>
    </row>
    <row r="43" spans="2:7" s="5" customFormat="1" x14ac:dyDescent="0.3">
      <c r="B43" s="214" t="s">
        <v>426</v>
      </c>
      <c r="C43" s="217">
        <v>316.68</v>
      </c>
      <c r="D43" s="61" t="str">
        <f t="shared" si="0"/>
        <v>kWh</v>
      </c>
    </row>
    <row r="44" spans="2:7" s="5" customFormat="1" x14ac:dyDescent="0.3">
      <c r="B44" s="214" t="s">
        <v>427</v>
      </c>
      <c r="C44" s="217">
        <v>309.72000000000003</v>
      </c>
      <c r="D44" s="61" t="str">
        <f t="shared" si="0"/>
        <v>kWh</v>
      </c>
    </row>
    <row r="45" spans="2:7" s="5" customFormat="1" x14ac:dyDescent="0.3">
      <c r="B45" s="214" t="s">
        <v>428</v>
      </c>
      <c r="C45" s="217">
        <v>341.04</v>
      </c>
      <c r="D45" s="61" t="str">
        <f t="shared" si="0"/>
        <v>kWh</v>
      </c>
    </row>
    <row r="46" spans="2:7" s="5" customFormat="1" x14ac:dyDescent="0.3">
      <c r="B46" s="214" t="s">
        <v>429</v>
      </c>
      <c r="C46" s="217">
        <v>320.16000000000003</v>
      </c>
      <c r="D46" s="61" t="str">
        <f t="shared" si="0"/>
        <v>kWh</v>
      </c>
    </row>
    <row r="47" spans="2:7" s="5" customFormat="1" x14ac:dyDescent="0.3">
      <c r="B47" s="214" t="s">
        <v>430</v>
      </c>
      <c r="C47" s="217">
        <v>400.2</v>
      </c>
      <c r="D47" s="61" t="str">
        <f t="shared" si="0"/>
        <v>kWh</v>
      </c>
    </row>
    <row r="48" spans="2:7" s="5" customFormat="1" x14ac:dyDescent="0.3">
      <c r="B48" s="214" t="s">
        <v>431</v>
      </c>
      <c r="C48" s="217">
        <v>382.8</v>
      </c>
      <c r="D48" s="61" t="str">
        <f t="shared" si="0"/>
        <v>kWh</v>
      </c>
    </row>
    <row r="49" spans="1:6" s="5" customFormat="1" x14ac:dyDescent="0.3">
      <c r="B49" s="214" t="s">
        <v>432</v>
      </c>
      <c r="C49" s="217">
        <v>358.44</v>
      </c>
      <c r="D49" s="61" t="str">
        <f t="shared" si="0"/>
        <v>kWh</v>
      </c>
    </row>
    <row r="50" spans="1:6" s="5" customFormat="1" x14ac:dyDescent="0.3">
      <c r="B50" s="214" t="s">
        <v>433</v>
      </c>
      <c r="C50" s="217">
        <v>351.48</v>
      </c>
      <c r="D50" s="61" t="str">
        <f t="shared" si="0"/>
        <v>kWh</v>
      </c>
    </row>
    <row r="51" spans="1:6" s="5" customFormat="1" x14ac:dyDescent="0.3">
      <c r="B51" s="214" t="s">
        <v>434</v>
      </c>
      <c r="C51" s="217">
        <v>393.23999999999995</v>
      </c>
      <c r="D51" s="61" t="str">
        <f t="shared" si="0"/>
        <v>kWh</v>
      </c>
    </row>
    <row r="52" spans="1:6" s="5" customFormat="1" x14ac:dyDescent="0.3">
      <c r="B52" s="214" t="s">
        <v>435</v>
      </c>
      <c r="C52" s="217">
        <v>396.72</v>
      </c>
      <c r="D52" s="61" t="str">
        <f t="shared" si="0"/>
        <v>kWh</v>
      </c>
    </row>
    <row r="53" spans="1:6" s="5" customFormat="1" x14ac:dyDescent="0.3">
      <c r="B53" s="214" t="s">
        <v>436</v>
      </c>
      <c r="C53" s="217">
        <v>372.35999999999996</v>
      </c>
      <c r="D53" s="61" t="str">
        <f t="shared" si="0"/>
        <v>kWh</v>
      </c>
    </row>
    <row r="54" spans="1:6" s="5" customFormat="1" x14ac:dyDescent="0.3">
      <c r="B54" s="214" t="s">
        <v>437</v>
      </c>
      <c r="C54" s="217">
        <v>365.40000000000003</v>
      </c>
      <c r="D54" s="61" t="str">
        <f t="shared" si="0"/>
        <v>kWh</v>
      </c>
    </row>
    <row r="55" spans="1:6" s="5" customFormat="1" x14ac:dyDescent="0.3">
      <c r="B55" s="214" t="s">
        <v>438</v>
      </c>
      <c r="C55" s="217">
        <v>379.31999999999994</v>
      </c>
      <c r="D55" s="61" t="str">
        <f t="shared" si="0"/>
        <v>kWh</v>
      </c>
    </row>
    <row r="56" spans="1:6" s="5" customFormat="1" x14ac:dyDescent="0.3">
      <c r="B56" s="214" t="s">
        <v>439</v>
      </c>
      <c r="C56" s="217">
        <v>386.28</v>
      </c>
      <c r="D56" s="61" t="str">
        <f t="shared" si="0"/>
        <v>kWh</v>
      </c>
    </row>
    <row r="57" spans="1:6" s="5" customFormat="1" x14ac:dyDescent="0.3">
      <c r="B57" s="214" t="s">
        <v>440</v>
      </c>
      <c r="C57" s="217">
        <v>354.96</v>
      </c>
      <c r="D57" s="61" t="str">
        <f t="shared" si="0"/>
        <v>kWh</v>
      </c>
    </row>
    <row r="58" spans="1:6" s="5" customFormat="1" x14ac:dyDescent="0.3">
      <c r="B58" s="214" t="s">
        <v>441</v>
      </c>
      <c r="C58" s="217">
        <v>375.84000000000003</v>
      </c>
      <c r="D58" s="61" t="str">
        <f t="shared" si="0"/>
        <v>kWh</v>
      </c>
    </row>
    <row r="59" spans="1:6" s="5" customFormat="1" x14ac:dyDescent="0.3">
      <c r="B59" s="111" t="s">
        <v>606</v>
      </c>
      <c r="C59" s="337">
        <f>SUM(C35:C58)</f>
        <v>8351.9999999999982</v>
      </c>
      <c r="D59" s="202" t="str">
        <f>IF($C$31="Unit","",$C$31)</f>
        <v>kWh</v>
      </c>
    </row>
    <row r="61" spans="1:6" s="6" customFormat="1" x14ac:dyDescent="0.3">
      <c r="A61" s="6" t="s">
        <v>635</v>
      </c>
      <c r="D61" s="20"/>
    </row>
    <row r="62" spans="1:6" x14ac:dyDescent="0.3">
      <c r="A62" s="15"/>
      <c r="B62" s="17"/>
      <c r="C62" s="15"/>
      <c r="D62" s="15"/>
      <c r="E62" s="15"/>
      <c r="F62" s="15"/>
    </row>
    <row r="63" spans="1:6" ht="43.2" x14ac:dyDescent="0.3">
      <c r="B63" s="80" t="s">
        <v>636</v>
      </c>
      <c r="C63" s="10" t="s">
        <v>101</v>
      </c>
    </row>
    <row r="64" spans="1:6" ht="43.2" x14ac:dyDescent="0.3">
      <c r="B64" s="92" t="s">
        <v>608</v>
      </c>
      <c r="C64" s="13">
        <f>'ECCC Parameters'!G29</f>
        <v>1</v>
      </c>
      <c r="D64" s="100" t="str">
        <f>CONCATENATE($C$63," /", $C$31)</f>
        <v>kWh /kWh</v>
      </c>
      <c r="F64" s="28"/>
    </row>
    <row r="66" spans="1:6" s="6" customFormat="1" x14ac:dyDescent="0.3">
      <c r="A66" s="6" t="s">
        <v>488</v>
      </c>
      <c r="D66" s="20"/>
    </row>
    <row r="67" spans="1:6" x14ac:dyDescent="0.3">
      <c r="A67" s="15"/>
    </row>
    <row r="68" spans="1:6" x14ac:dyDescent="0.3">
      <c r="B68" s="135" t="s">
        <v>616</v>
      </c>
      <c r="C68" s="135" t="s">
        <v>610</v>
      </c>
      <c r="D68" s="135" t="s">
        <v>127</v>
      </c>
    </row>
    <row r="69" spans="1:6" ht="43.2" x14ac:dyDescent="0.3">
      <c r="B69" s="252" t="str">
        <f>IF($C$10="","",$C$10)</f>
        <v>Low-CI electricity (produced on-site or RECs-PPA) (Select grid)</v>
      </c>
      <c r="C69" s="67">
        <f>C64*C59</f>
        <v>8351.9999999999982</v>
      </c>
      <c r="D69" s="67" t="str">
        <f>C63</f>
        <v>kWh</v>
      </c>
      <c r="E69" s="104" t="s">
        <v>575</v>
      </c>
      <c r="F69" s="28"/>
    </row>
    <row r="71" spans="1:6" x14ac:dyDescent="0.3">
      <c r="B71" s="274" t="s">
        <v>456</v>
      </c>
    </row>
  </sheetData>
  <mergeCells count="6">
    <mergeCell ref="B34:C34"/>
    <mergeCell ref="D9:E9"/>
    <mergeCell ref="D10:E10"/>
    <mergeCell ref="D15:E15"/>
    <mergeCell ref="D31:E31"/>
    <mergeCell ref="E33:G33"/>
  </mergeCells>
  <hyperlinks>
    <hyperlink ref="B71" location="Allocation!A1" display="Allocation!A1" xr:uid="{5705DACB-3DD5-49ED-BC83-D01DA503D9E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45E9F1D5-4FE7-4A77-8852-F97816231997}">
          <x14:formula1>
            <xm:f>Lists!$S$5:$S$13</xm:f>
          </x14:formula1>
          <xm:sqref>C18</xm:sqref>
        </x14:dataValidation>
        <x14:dataValidation type="list" allowBlank="1" showInputMessage="1" showErrorMessage="1" xr:uid="{7AAC396E-78AF-4D0C-B73F-2BD71DB30FE0}">
          <x14:formula1>
            <xm:f>Lists!$V$5:$V$73</xm:f>
          </x14:formula1>
          <xm:sqref>C15</xm:sqref>
        </x14:dataValidation>
        <x14:dataValidation type="list" allowBlank="1" showInputMessage="1" showErrorMessage="1" xr:uid="{A655E0C2-9E25-42C7-B84E-24387C3C3808}">
          <x14:formula1>
            <xm:f>Lists!$V$5:$V$84</xm:f>
          </x14:formula1>
          <xm:sqref>C19</xm:sqref>
        </x14:dataValidation>
        <x14:dataValidation type="list" allowBlank="1" showInputMessage="1" showErrorMessage="1" xr:uid="{70ED6B6E-B125-471D-9561-C8DA102690DC}">
          <x14:formula1>
            <xm:f>Lists!$G$5:$G$8</xm:f>
          </x14:formula1>
          <xm:sqref>C11</xm:sqref>
        </x14:dataValidation>
        <x14:dataValidation type="list" allowBlank="1" showInputMessage="1" showErrorMessage="1" xr:uid="{643351F5-EB48-477F-8879-F63044F94CB4}">
          <x14:formula1>
            <xm:f>Lists!$R$5:$R$8</xm:f>
          </x14:formula1>
          <xm:sqref>C9</xm:sqref>
        </x14:dataValidation>
        <x14:dataValidation type="list" allowBlank="1" showInputMessage="1" showErrorMessage="1" xr:uid="{DF5EFE8A-85F0-4A54-B63B-2C2FDFB0556B}">
          <x14:formula1>
            <xm:f>Lists!$AA$5:$AA$18</xm:f>
          </x14:formula1>
          <xm:sqref>C63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N95"/>
  <sheetViews>
    <sheetView showGridLines="0" zoomScale="85" zoomScaleNormal="85" workbookViewId="0">
      <selection activeCell="C93" sqref="C93"/>
    </sheetView>
  </sheetViews>
  <sheetFormatPr defaultColWidth="8.6640625" defaultRowHeight="14.4" x14ac:dyDescent="0.3"/>
  <cols>
    <col min="1" max="1" width="4" style="5" customWidth="1"/>
    <col min="2" max="2" width="33" style="5" customWidth="1"/>
    <col min="3" max="3" width="34.44140625" style="5" bestFit="1" customWidth="1"/>
    <col min="4" max="4" width="32.6640625" style="5" customWidth="1"/>
    <col min="5" max="5" width="40.5546875" style="5" customWidth="1"/>
    <col min="6" max="6" width="32.6640625" style="5" customWidth="1"/>
    <col min="7" max="7" width="32.44140625" style="5" customWidth="1"/>
  </cols>
  <sheetData>
    <row r="1" spans="1:14" x14ac:dyDescent="0.3">
      <c r="A1" s="347"/>
    </row>
    <row r="2" spans="1:14" s="96" customFormat="1" x14ac:dyDescent="0.3">
      <c r="A2" s="96" t="s">
        <v>586</v>
      </c>
    </row>
    <row r="3" spans="1:14" x14ac:dyDescent="0.3">
      <c r="A3" s="66" t="s">
        <v>640</v>
      </c>
      <c r="B3" s="124"/>
    </row>
    <row r="4" spans="1:14" x14ac:dyDescent="0.3">
      <c r="A4" s="66" t="s">
        <v>641</v>
      </c>
      <c r="B4" s="124"/>
      <c r="C4" s="28"/>
    </row>
    <row r="6" spans="1:14" x14ac:dyDescent="0.3">
      <c r="A6" s="6" t="s">
        <v>356</v>
      </c>
      <c r="B6" s="6"/>
      <c r="C6" s="6"/>
      <c r="D6" s="6"/>
      <c r="E6" s="6"/>
      <c r="F6" s="6"/>
      <c r="G6" s="6"/>
    </row>
    <row r="8" spans="1:14" x14ac:dyDescent="0.3">
      <c r="B8" s="156" t="s">
        <v>642</v>
      </c>
    </row>
    <row r="9" spans="1:14" x14ac:dyDescent="0.3">
      <c r="B9" s="80" t="s">
        <v>643</v>
      </c>
      <c r="C9" s="487" t="s">
        <v>644</v>
      </c>
      <c r="D9" s="28"/>
      <c r="G9" s="28"/>
    </row>
    <row r="10" spans="1:14" s="5" customFormat="1" x14ac:dyDescent="0.3">
      <c r="B10" s="80" t="s">
        <v>645</v>
      </c>
      <c r="C10" s="114" t="str">
        <f>IF(C9="Select material input","",C9)</f>
        <v/>
      </c>
      <c r="D10" s="697" t="s">
        <v>464</v>
      </c>
      <c r="E10" s="697"/>
      <c r="F10" s="21"/>
      <c r="N10" s="19"/>
    </row>
    <row r="11" spans="1:14" s="5" customFormat="1" ht="63" customHeight="1" x14ac:dyDescent="0.3">
      <c r="B11" s="92" t="s">
        <v>646</v>
      </c>
      <c r="C11" s="24" t="s">
        <v>647</v>
      </c>
      <c r="D11" s="687" t="s">
        <v>648</v>
      </c>
      <c r="E11" s="688"/>
      <c r="F11" s="21"/>
      <c r="N11" s="19"/>
    </row>
    <row r="12" spans="1:14" x14ac:dyDescent="0.3">
      <c r="A12"/>
      <c r="B12" s="49" t="s">
        <v>27</v>
      </c>
      <c r="C12" s="48"/>
      <c r="D12"/>
      <c r="E12"/>
      <c r="F12"/>
      <c r="G12"/>
    </row>
    <row r="13" spans="1:14" x14ac:dyDescent="0.3">
      <c r="B13" s="28"/>
      <c r="G13" s="28"/>
    </row>
    <row r="14" spans="1:14" s="5" customFormat="1" x14ac:dyDescent="0.3">
      <c r="B14" s="25" t="s">
        <v>649</v>
      </c>
      <c r="D14" s="23"/>
      <c r="F14" s="21"/>
      <c r="N14" s="19"/>
    </row>
    <row r="15" spans="1:14" s="5" customFormat="1" x14ac:dyDescent="0.3">
      <c r="B15" s="92" t="s">
        <v>650</v>
      </c>
      <c r="C15" s="9"/>
      <c r="D15" s="23"/>
      <c r="F15" s="21"/>
      <c r="N15" s="19"/>
    </row>
    <row r="16" spans="1:14" s="5" customFormat="1" ht="28.8" x14ac:dyDescent="0.3">
      <c r="B16" s="92" t="s">
        <v>467</v>
      </c>
      <c r="C16" s="9"/>
      <c r="F16" s="21"/>
      <c r="N16" s="19"/>
    </row>
    <row r="17" spans="1:14" s="5" customFormat="1" x14ac:dyDescent="0.3">
      <c r="B17" s="3"/>
      <c r="C17" s="15"/>
      <c r="F17" s="21"/>
      <c r="N17" s="19"/>
    </row>
    <row r="18" spans="1:14" s="5" customFormat="1" x14ac:dyDescent="0.3">
      <c r="B18" s="25" t="s">
        <v>651</v>
      </c>
      <c r="C18" s="488"/>
      <c r="D18" s="25"/>
      <c r="H18" s="21"/>
      <c r="I18" s="21"/>
    </row>
    <row r="19" spans="1:14" s="5" customFormat="1" ht="28.8" x14ac:dyDescent="0.3">
      <c r="B19" s="80" t="s">
        <v>597</v>
      </c>
      <c r="C19" s="9"/>
      <c r="H19" s="21"/>
      <c r="I19" s="21"/>
    </row>
    <row r="20" spans="1:14" s="5" customFormat="1" x14ac:dyDescent="0.3">
      <c r="B20" s="80" t="s">
        <v>598</v>
      </c>
      <c r="C20" s="9"/>
      <c r="H20" s="21"/>
      <c r="I20" s="21"/>
    </row>
    <row r="21" spans="1:14" s="5" customFormat="1" x14ac:dyDescent="0.3">
      <c r="B21" s="3"/>
      <c r="C21" s="15"/>
      <c r="H21" s="21"/>
      <c r="I21" s="21"/>
    </row>
    <row r="22" spans="1:14" x14ac:dyDescent="0.3">
      <c r="B22" s="156" t="s">
        <v>652</v>
      </c>
    </row>
    <row r="23" spans="1:14" ht="43.5" customHeight="1" x14ac:dyDescent="0.3">
      <c r="B23" s="80" t="s">
        <v>653</v>
      </c>
      <c r="C23" s="12" t="s">
        <v>654</v>
      </c>
      <c r="D23" s="694" t="s">
        <v>655</v>
      </c>
      <c r="E23" s="695"/>
    </row>
    <row r="24" spans="1:14" ht="15" customHeight="1" x14ac:dyDescent="0.3">
      <c r="B24" s="3"/>
      <c r="C24" s="3"/>
      <c r="D24" s="3"/>
      <c r="E24" s="3"/>
      <c r="F24" s="3"/>
    </row>
    <row r="25" spans="1:14" s="6" customFormat="1" x14ac:dyDescent="0.3">
      <c r="A25" s="6" t="s">
        <v>656</v>
      </c>
    </row>
    <row r="26" spans="1:14" x14ac:dyDescent="0.3">
      <c r="A26" s="96" t="s">
        <v>657</v>
      </c>
    </row>
    <row r="27" spans="1:14" s="32" customFormat="1" x14ac:dyDescent="0.3">
      <c r="A27" s="75" t="s">
        <v>658</v>
      </c>
      <c r="B27" s="90"/>
      <c r="C27" s="58"/>
    </row>
    <row r="28" spans="1:14" s="5" customFormat="1" ht="24" customHeight="1" x14ac:dyDescent="0.3">
      <c r="B28" s="92" t="s">
        <v>659</v>
      </c>
      <c r="C28" s="9"/>
      <c r="D28" s="68" t="s">
        <v>470</v>
      </c>
      <c r="E28" s="698" t="s">
        <v>660</v>
      </c>
      <c r="F28" s="699"/>
    </row>
    <row r="29" spans="1:14" s="5" customFormat="1" ht="28.5" customHeight="1" x14ac:dyDescent="0.3">
      <c r="B29" s="92" t="s">
        <v>661</v>
      </c>
      <c r="C29" s="9"/>
      <c r="D29" s="68" t="s">
        <v>302</v>
      </c>
      <c r="E29" s="698" t="s">
        <v>662</v>
      </c>
      <c r="F29" s="699"/>
    </row>
    <row r="30" spans="1:14" s="5" customFormat="1" x14ac:dyDescent="0.3">
      <c r="B30" s="23"/>
      <c r="C30" s="11"/>
      <c r="D30" s="23"/>
      <c r="F30" s="21"/>
      <c r="N30" s="19"/>
    </row>
    <row r="31" spans="1:14" s="5" customFormat="1" ht="28.8" x14ac:dyDescent="0.3">
      <c r="B31" s="92" t="s">
        <v>663</v>
      </c>
      <c r="C31" s="359" t="s">
        <v>378</v>
      </c>
      <c r="D31" s="11"/>
    </row>
    <row r="32" spans="1:14" s="5" customFormat="1" x14ac:dyDescent="0.3">
      <c r="B32" s="23"/>
      <c r="C32" s="11"/>
      <c r="D32" s="11"/>
    </row>
    <row r="33" spans="1:7" s="5" customFormat="1" x14ac:dyDescent="0.3">
      <c r="B33" s="145" t="s">
        <v>380</v>
      </c>
      <c r="C33" s="137" t="s">
        <v>664</v>
      </c>
      <c r="D33" s="138" t="s">
        <v>127</v>
      </c>
    </row>
    <row r="34" spans="1:7" s="5" customFormat="1" x14ac:dyDescent="0.3">
      <c r="B34" s="92" t="s">
        <v>665</v>
      </c>
      <c r="C34" s="9"/>
      <c r="D34" s="155" t="s">
        <v>120</v>
      </c>
      <c r="E34" s="700" t="s">
        <v>666</v>
      </c>
      <c r="F34" s="701"/>
    </row>
    <row r="35" spans="1:7" s="5" customFormat="1" x14ac:dyDescent="0.3">
      <c r="B35" s="92" t="s">
        <v>667</v>
      </c>
      <c r="C35" s="9"/>
      <c r="D35" s="155" t="s">
        <v>120</v>
      </c>
      <c r="E35" s="702"/>
      <c r="F35" s="703"/>
    </row>
    <row r="36" spans="1:7" s="5" customFormat="1" x14ac:dyDescent="0.3">
      <c r="B36" s="92" t="s">
        <v>668</v>
      </c>
      <c r="C36" s="9"/>
      <c r="D36" s="155" t="s">
        <v>120</v>
      </c>
      <c r="E36" s="702"/>
      <c r="F36" s="703"/>
    </row>
    <row r="37" spans="1:7" s="5" customFormat="1" x14ac:dyDescent="0.3">
      <c r="B37" s="92" t="s">
        <v>669</v>
      </c>
      <c r="C37" s="9"/>
      <c r="D37" s="155" t="s">
        <v>120</v>
      </c>
      <c r="E37" s="702"/>
      <c r="F37" s="703"/>
    </row>
    <row r="38" spans="1:7" s="5" customFormat="1" x14ac:dyDescent="0.3">
      <c r="B38" s="92" t="s">
        <v>670</v>
      </c>
      <c r="C38" s="9"/>
      <c r="D38" s="155" t="s">
        <v>120</v>
      </c>
      <c r="E38" s="704"/>
      <c r="F38" s="705"/>
    </row>
    <row r="39" spans="1:7" s="5" customFormat="1" x14ac:dyDescent="0.3">
      <c r="D39" s="23"/>
    </row>
    <row r="40" spans="1:7" s="5" customFormat="1" x14ac:dyDescent="0.3">
      <c r="B40" s="145" t="s">
        <v>380</v>
      </c>
      <c r="C40" s="137" t="s">
        <v>401</v>
      </c>
      <c r="D40" s="138" t="s">
        <v>127</v>
      </c>
    </row>
    <row r="41" spans="1:7" s="5" customFormat="1" x14ac:dyDescent="0.3">
      <c r="B41" s="92" t="s">
        <v>665</v>
      </c>
      <c r="C41" s="127" t="str">
        <f>IFERROR(C34/C$28, "")</f>
        <v/>
      </c>
      <c r="D41" s="154" t="s">
        <v>402</v>
      </c>
      <c r="E41" s="700" t="s">
        <v>671</v>
      </c>
      <c r="F41" s="701"/>
    </row>
    <row r="42" spans="1:7" s="5" customFormat="1" x14ac:dyDescent="0.3">
      <c r="B42" s="92" t="s">
        <v>667</v>
      </c>
      <c r="C42" s="127" t="str">
        <f t="shared" ref="C42:C45" si="0">IFERROR(C35/C$28, "")</f>
        <v/>
      </c>
      <c r="D42" s="154" t="s">
        <v>402</v>
      </c>
      <c r="E42" s="702"/>
      <c r="F42" s="703"/>
    </row>
    <row r="43" spans="1:7" s="5" customFormat="1" x14ac:dyDescent="0.3">
      <c r="B43" s="92" t="s">
        <v>668</v>
      </c>
      <c r="C43" s="127" t="str">
        <f t="shared" si="0"/>
        <v/>
      </c>
      <c r="D43" s="154" t="s">
        <v>402</v>
      </c>
      <c r="E43" s="702"/>
      <c r="F43" s="703"/>
    </row>
    <row r="44" spans="1:7" s="5" customFormat="1" x14ac:dyDescent="0.3">
      <c r="B44" s="92" t="s">
        <v>669</v>
      </c>
      <c r="C44" s="127" t="str">
        <f t="shared" si="0"/>
        <v/>
      </c>
      <c r="D44" s="154" t="s">
        <v>402</v>
      </c>
      <c r="E44" s="702"/>
      <c r="F44" s="703"/>
    </row>
    <row r="45" spans="1:7" s="5" customFormat="1" x14ac:dyDescent="0.3">
      <c r="B45" s="92" t="s">
        <v>670</v>
      </c>
      <c r="C45" s="127" t="str">
        <f t="shared" si="0"/>
        <v/>
      </c>
      <c r="D45" s="154" t="s">
        <v>402</v>
      </c>
      <c r="E45" s="704"/>
      <c r="F45" s="705"/>
    </row>
    <row r="47" spans="1:7" x14ac:dyDescent="0.3">
      <c r="A47" s="6" t="s">
        <v>672</v>
      </c>
      <c r="B47" s="6"/>
      <c r="C47" s="6"/>
      <c r="D47" s="6"/>
      <c r="E47" s="6"/>
      <c r="F47" s="6"/>
      <c r="G47" s="6"/>
    </row>
    <row r="48" spans="1:7" x14ac:dyDescent="0.3">
      <c r="B48" s="28"/>
    </row>
    <row r="49" spans="1:7" x14ac:dyDescent="0.3">
      <c r="B49" s="80" t="s">
        <v>599</v>
      </c>
      <c r="C49" s="251" t="s">
        <v>127</v>
      </c>
      <c r="D49" s="597" t="s">
        <v>673</v>
      </c>
      <c r="E49" s="597"/>
    </row>
    <row r="51" spans="1:7" ht="28.8" x14ac:dyDescent="0.3">
      <c r="A51" s="11"/>
      <c r="B51" s="105" t="s">
        <v>412</v>
      </c>
      <c r="C51" s="76" t="s">
        <v>674</v>
      </c>
      <c r="D51" s="76" t="s">
        <v>675</v>
      </c>
      <c r="E51" s="76" t="s">
        <v>676</v>
      </c>
      <c r="F51" s="76" t="s">
        <v>677</v>
      </c>
      <c r="G51" s="85" t="s">
        <v>127</v>
      </c>
    </row>
    <row r="52" spans="1:7" x14ac:dyDescent="0.3">
      <c r="A52" s="11"/>
      <c r="B52" s="661" t="s">
        <v>417</v>
      </c>
      <c r="C52" s="668"/>
      <c r="D52" s="668"/>
      <c r="E52" s="669"/>
      <c r="F52" s="86"/>
      <c r="G52" s="87"/>
    </row>
    <row r="53" spans="1:7" x14ac:dyDescent="0.3">
      <c r="B53" s="214"/>
      <c r="C53" s="217"/>
      <c r="D53" s="215"/>
      <c r="E53" s="215"/>
      <c r="F53" s="238">
        <f>C53+D53-E53</f>
        <v>0</v>
      </c>
      <c r="G53" s="61" t="str">
        <f>IF(C$49="unit","",C$49)</f>
        <v/>
      </c>
    </row>
    <row r="54" spans="1:7" x14ac:dyDescent="0.3">
      <c r="B54" s="214"/>
      <c r="C54" s="217"/>
      <c r="D54" s="215"/>
      <c r="E54" s="215"/>
      <c r="F54" s="238">
        <f t="shared" ref="F54:F76" si="1">C54+D54-E54</f>
        <v>0</v>
      </c>
      <c r="G54" s="61" t="str">
        <f t="shared" ref="G54:G77" si="2">IF(C$49="unit","",C$49)</f>
        <v/>
      </c>
    </row>
    <row r="55" spans="1:7" x14ac:dyDescent="0.3">
      <c r="B55" s="214"/>
      <c r="C55" s="217"/>
      <c r="D55" s="215"/>
      <c r="E55" s="215"/>
      <c r="F55" s="238">
        <f t="shared" si="1"/>
        <v>0</v>
      </c>
      <c r="G55" s="61" t="str">
        <f t="shared" si="2"/>
        <v/>
      </c>
    </row>
    <row r="56" spans="1:7" x14ac:dyDescent="0.3">
      <c r="B56" s="214"/>
      <c r="C56" s="217"/>
      <c r="D56" s="215"/>
      <c r="E56" s="215"/>
      <c r="F56" s="238">
        <f t="shared" si="1"/>
        <v>0</v>
      </c>
      <c r="G56" s="61" t="str">
        <f t="shared" si="2"/>
        <v/>
      </c>
    </row>
    <row r="57" spans="1:7" x14ac:dyDescent="0.3">
      <c r="B57" s="214"/>
      <c r="C57" s="217"/>
      <c r="D57" s="215"/>
      <c r="E57" s="215"/>
      <c r="F57" s="238">
        <f t="shared" si="1"/>
        <v>0</v>
      </c>
      <c r="G57" s="61" t="str">
        <f t="shared" si="2"/>
        <v/>
      </c>
    </row>
    <row r="58" spans="1:7" x14ac:dyDescent="0.3">
      <c r="B58" s="214"/>
      <c r="C58" s="217"/>
      <c r="D58" s="215"/>
      <c r="E58" s="215"/>
      <c r="F58" s="238">
        <f t="shared" si="1"/>
        <v>0</v>
      </c>
      <c r="G58" s="61" t="str">
        <f t="shared" si="2"/>
        <v/>
      </c>
    </row>
    <row r="59" spans="1:7" x14ac:dyDescent="0.3">
      <c r="B59" s="214"/>
      <c r="C59" s="217"/>
      <c r="D59" s="215"/>
      <c r="E59" s="215"/>
      <c r="F59" s="238">
        <f t="shared" si="1"/>
        <v>0</v>
      </c>
      <c r="G59" s="61" t="str">
        <f t="shared" si="2"/>
        <v/>
      </c>
    </row>
    <row r="60" spans="1:7" x14ac:dyDescent="0.3">
      <c r="B60" s="214"/>
      <c r="C60" s="217"/>
      <c r="D60" s="215"/>
      <c r="E60" s="215"/>
      <c r="F60" s="238">
        <f t="shared" si="1"/>
        <v>0</v>
      </c>
      <c r="G60" s="61" t="str">
        <f t="shared" si="2"/>
        <v/>
      </c>
    </row>
    <row r="61" spans="1:7" x14ac:dyDescent="0.3">
      <c r="B61" s="214"/>
      <c r="C61" s="217"/>
      <c r="D61" s="215"/>
      <c r="E61" s="215"/>
      <c r="F61" s="238">
        <f t="shared" si="1"/>
        <v>0</v>
      </c>
      <c r="G61" s="61" t="str">
        <f t="shared" si="2"/>
        <v/>
      </c>
    </row>
    <row r="62" spans="1:7" x14ac:dyDescent="0.3">
      <c r="B62" s="214"/>
      <c r="C62" s="217"/>
      <c r="D62" s="215"/>
      <c r="E62" s="215"/>
      <c r="F62" s="238">
        <f t="shared" si="1"/>
        <v>0</v>
      </c>
      <c r="G62" s="61" t="str">
        <f t="shared" si="2"/>
        <v/>
      </c>
    </row>
    <row r="63" spans="1:7" x14ac:dyDescent="0.3">
      <c r="B63" s="214"/>
      <c r="C63" s="217"/>
      <c r="D63" s="215"/>
      <c r="E63" s="215"/>
      <c r="F63" s="238">
        <f t="shared" si="1"/>
        <v>0</v>
      </c>
      <c r="G63" s="61" t="str">
        <f t="shared" si="2"/>
        <v/>
      </c>
    </row>
    <row r="64" spans="1:7" x14ac:dyDescent="0.3">
      <c r="B64" s="214"/>
      <c r="C64" s="217"/>
      <c r="D64" s="215"/>
      <c r="E64" s="215"/>
      <c r="F64" s="238">
        <f t="shared" si="1"/>
        <v>0</v>
      </c>
      <c r="G64" s="61" t="str">
        <f t="shared" si="2"/>
        <v/>
      </c>
    </row>
    <row r="65" spans="1:7" x14ac:dyDescent="0.3">
      <c r="B65" s="214"/>
      <c r="C65" s="217"/>
      <c r="D65" s="215"/>
      <c r="E65" s="215"/>
      <c r="F65" s="238">
        <f t="shared" si="1"/>
        <v>0</v>
      </c>
      <c r="G65" s="61" t="str">
        <f t="shared" si="2"/>
        <v/>
      </c>
    </row>
    <row r="66" spans="1:7" x14ac:dyDescent="0.3">
      <c r="B66" s="214"/>
      <c r="C66" s="217"/>
      <c r="D66" s="215"/>
      <c r="E66" s="215"/>
      <c r="F66" s="238">
        <f t="shared" si="1"/>
        <v>0</v>
      </c>
      <c r="G66" s="61" t="str">
        <f t="shared" si="2"/>
        <v/>
      </c>
    </row>
    <row r="67" spans="1:7" x14ac:dyDescent="0.3">
      <c r="B67" s="214"/>
      <c r="C67" s="217"/>
      <c r="D67" s="215"/>
      <c r="E67" s="215"/>
      <c r="F67" s="238">
        <f t="shared" si="1"/>
        <v>0</v>
      </c>
      <c r="G67" s="61" t="str">
        <f t="shared" si="2"/>
        <v/>
      </c>
    </row>
    <row r="68" spans="1:7" x14ac:dyDescent="0.3">
      <c r="B68" s="214"/>
      <c r="C68" s="217"/>
      <c r="D68" s="215"/>
      <c r="E68" s="215"/>
      <c r="F68" s="238">
        <f t="shared" si="1"/>
        <v>0</v>
      </c>
      <c r="G68" s="61" t="str">
        <f t="shared" si="2"/>
        <v/>
      </c>
    </row>
    <row r="69" spans="1:7" x14ac:dyDescent="0.3">
      <c r="B69" s="214"/>
      <c r="C69" s="217"/>
      <c r="D69" s="215"/>
      <c r="E69" s="215"/>
      <c r="F69" s="238">
        <f t="shared" si="1"/>
        <v>0</v>
      </c>
      <c r="G69" s="61" t="str">
        <f t="shared" si="2"/>
        <v/>
      </c>
    </row>
    <row r="70" spans="1:7" x14ac:dyDescent="0.3">
      <c r="B70" s="214"/>
      <c r="C70" s="217"/>
      <c r="D70" s="215"/>
      <c r="E70" s="215"/>
      <c r="F70" s="238">
        <f t="shared" si="1"/>
        <v>0</v>
      </c>
      <c r="G70" s="61" t="str">
        <f t="shared" si="2"/>
        <v/>
      </c>
    </row>
    <row r="71" spans="1:7" x14ac:dyDescent="0.3">
      <c r="B71" s="214"/>
      <c r="C71" s="217"/>
      <c r="D71" s="215"/>
      <c r="E71" s="215"/>
      <c r="F71" s="238">
        <f t="shared" si="1"/>
        <v>0</v>
      </c>
      <c r="G71" s="61" t="str">
        <f t="shared" si="2"/>
        <v/>
      </c>
    </row>
    <row r="72" spans="1:7" x14ac:dyDescent="0.3">
      <c r="B72" s="214"/>
      <c r="C72" s="217"/>
      <c r="D72" s="215"/>
      <c r="E72" s="215"/>
      <c r="F72" s="238">
        <f t="shared" si="1"/>
        <v>0</v>
      </c>
      <c r="G72" s="61" t="str">
        <f t="shared" si="2"/>
        <v/>
      </c>
    </row>
    <row r="73" spans="1:7" x14ac:dyDescent="0.3">
      <c r="B73" s="214"/>
      <c r="C73" s="217"/>
      <c r="D73" s="215"/>
      <c r="E73" s="215"/>
      <c r="F73" s="238">
        <f t="shared" si="1"/>
        <v>0</v>
      </c>
      <c r="G73" s="61" t="str">
        <f t="shared" si="2"/>
        <v/>
      </c>
    </row>
    <row r="74" spans="1:7" x14ac:dyDescent="0.3">
      <c r="B74" s="214"/>
      <c r="C74" s="217"/>
      <c r="D74" s="215"/>
      <c r="E74" s="215"/>
      <c r="F74" s="238">
        <f t="shared" si="1"/>
        <v>0</v>
      </c>
      <c r="G74" s="61" t="str">
        <f t="shared" si="2"/>
        <v/>
      </c>
    </row>
    <row r="75" spans="1:7" x14ac:dyDescent="0.3">
      <c r="B75" s="214"/>
      <c r="C75" s="217"/>
      <c r="D75" s="215"/>
      <c r="E75" s="215"/>
      <c r="F75" s="238">
        <f t="shared" si="1"/>
        <v>0</v>
      </c>
      <c r="G75" s="61" t="str">
        <f t="shared" si="2"/>
        <v/>
      </c>
    </row>
    <row r="76" spans="1:7" x14ac:dyDescent="0.3">
      <c r="B76" s="214"/>
      <c r="C76" s="217"/>
      <c r="D76" s="215"/>
      <c r="E76" s="215"/>
      <c r="F76" s="238">
        <f t="shared" si="1"/>
        <v>0</v>
      </c>
      <c r="G76" s="61" t="str">
        <f t="shared" si="2"/>
        <v/>
      </c>
    </row>
    <row r="77" spans="1:7" x14ac:dyDescent="0.3">
      <c r="E77" s="297" t="s">
        <v>606</v>
      </c>
      <c r="F77" s="244">
        <f>SUM(F53:F76)</f>
        <v>0</v>
      </c>
      <c r="G77" s="202" t="str">
        <f t="shared" si="2"/>
        <v/>
      </c>
    </row>
    <row r="79" spans="1:7" x14ac:dyDescent="0.3">
      <c r="A79" s="6" t="s">
        <v>678</v>
      </c>
      <c r="B79" s="6"/>
      <c r="C79" s="6"/>
      <c r="D79" s="6"/>
      <c r="E79" s="6"/>
      <c r="F79" s="6"/>
      <c r="G79" s="6"/>
    </row>
    <row r="80" spans="1:7" x14ac:dyDescent="0.3">
      <c r="A80" s="15"/>
      <c r="B80" s="17"/>
      <c r="C80" s="15"/>
      <c r="D80" s="15"/>
      <c r="E80" s="15"/>
      <c r="F80" s="15"/>
      <c r="G80" s="15"/>
    </row>
    <row r="81" spans="1:7" s="5" customFormat="1" x14ac:dyDescent="0.3">
      <c r="B81" s="80" t="s">
        <v>679</v>
      </c>
      <c r="C81" s="10" t="s">
        <v>445</v>
      </c>
      <c r="E81" s="28"/>
    </row>
    <row r="82" spans="1:7" s="5" customFormat="1" ht="28.8" x14ac:dyDescent="0.3">
      <c r="B82" s="80" t="s">
        <v>680</v>
      </c>
      <c r="C82" s="10" t="s">
        <v>681</v>
      </c>
      <c r="D82" s="277"/>
      <c r="E82" s="28"/>
    </row>
    <row r="83" spans="1:7" ht="28.8" x14ac:dyDescent="0.3">
      <c r="B83" s="92" t="str">
        <f xml:space="preserve"> CONCATENATE("Conversion factor from ", C49, " to ",C82)</f>
        <v>Conversion factor from Unit to Select unit</v>
      </c>
      <c r="C83" s="13"/>
      <c r="D83" s="120" t="str">
        <f>CONCATENATE(C82," /", C49)</f>
        <v>Select unit /Unit</v>
      </c>
      <c r="E83" s="104" t="s">
        <v>682</v>
      </c>
    </row>
    <row r="85" spans="1:7" s="6" customFormat="1" x14ac:dyDescent="0.3">
      <c r="A85" s="6" t="s">
        <v>488</v>
      </c>
      <c r="D85" s="20"/>
    </row>
    <row r="86" spans="1:7" x14ac:dyDescent="0.3">
      <c r="A86" s="66" t="s">
        <v>683</v>
      </c>
    </row>
    <row r="87" spans="1:7" x14ac:dyDescent="0.3">
      <c r="A87" s="66"/>
    </row>
    <row r="88" spans="1:7" x14ac:dyDescent="0.3">
      <c r="B88" s="7" t="s">
        <v>645</v>
      </c>
      <c r="C88" s="135" t="s">
        <v>610</v>
      </c>
      <c r="D88" s="135" t="s">
        <v>127</v>
      </c>
    </row>
    <row r="89" spans="1:7" x14ac:dyDescent="0.3">
      <c r="B89" s="67" t="str">
        <f>C10</f>
        <v/>
      </c>
      <c r="C89" s="67">
        <f>C83*F77</f>
        <v>0</v>
      </c>
      <c r="D89" s="67" t="str">
        <f>C82</f>
        <v>Select unit</v>
      </c>
      <c r="E89" s="23"/>
      <c r="F89" s="28"/>
    </row>
    <row r="92" spans="1:7" x14ac:dyDescent="0.3">
      <c r="B92" s="7" t="s">
        <v>684</v>
      </c>
      <c r="C92" s="135" t="s">
        <v>610</v>
      </c>
      <c r="D92" s="135" t="s">
        <v>127</v>
      </c>
    </row>
    <row r="93" spans="1:7" ht="50.4" customHeight="1" x14ac:dyDescent="0.3">
      <c r="B93" s="252" t="str">
        <f>IF($C$23="Select preset chemical mix","",$C$23)</f>
        <v>Chemical use per MJ of conventional ethanol</v>
      </c>
      <c r="C93" s="522">
        <f>Bioethanol!C64</f>
        <v>5855018736</v>
      </c>
      <c r="D93" s="125" t="s">
        <v>98</v>
      </c>
      <c r="E93" s="598" t="s">
        <v>685</v>
      </c>
      <c r="F93" s="598"/>
      <c r="G93" s="598"/>
    </row>
    <row r="94" spans="1:7" ht="17.100000000000001" customHeight="1" x14ac:dyDescent="0.3">
      <c r="E94" s="57"/>
      <c r="F94" s="57"/>
      <c r="G94" s="57"/>
    </row>
    <row r="95" spans="1:7" x14ac:dyDescent="0.3">
      <c r="B95" s="274" t="s">
        <v>456</v>
      </c>
      <c r="E95" s="57"/>
      <c r="F95" s="57"/>
      <c r="G95" s="57"/>
    </row>
  </sheetData>
  <customSheetViews>
    <customSheetView guid="{A8E9A491-4491-4848-9959-58297999E6F5}" showGridLines="0">
      <selection activeCell="E66" sqref="E66:G66"/>
      <pageMargins left="0" right="0" top="0" bottom="0" header="0" footer="0"/>
      <pageSetup orientation="portrait" r:id="rId1"/>
    </customSheetView>
    <customSheetView guid="{CBE97499-8DE4-4834-9D9F-4D852DB24A20}" showGridLines="0" topLeftCell="A45">
      <selection activeCell="C62" sqref="C62"/>
      <pageMargins left="0" right="0" top="0" bottom="0" header="0" footer="0"/>
      <pageSetup orientation="portrait" r:id="rId2"/>
    </customSheetView>
    <customSheetView guid="{BAC701C4-B534-4ABA-907B-FE30A3505B8B}" showGridLines="0" topLeftCell="A43">
      <selection activeCell="E66" sqref="E66:G66"/>
      <pageMargins left="0" right="0" top="0" bottom="0" header="0" footer="0"/>
      <pageSetup orientation="portrait" r:id="rId3"/>
    </customSheetView>
    <customSheetView guid="{3F555A8F-379C-4D2D-833A-FF346FE5F044}" showGridLines="0" topLeftCell="A45">
      <selection activeCell="C62" sqref="C62"/>
      <pageMargins left="0" right="0" top="0" bottom="0" header="0" footer="0"/>
      <pageSetup orientation="portrait" r:id="rId4"/>
    </customSheetView>
    <customSheetView guid="{61CEA325-629A-4670-A66B-4314E031BBF1}" showGridLines="0">
      <selection activeCell="E66" sqref="E66:G66"/>
      <pageMargins left="0" right="0" top="0" bottom="0" header="0" footer="0"/>
      <pageSetup orientation="portrait" r:id="rId5"/>
    </customSheetView>
  </customSheetViews>
  <mergeCells count="10">
    <mergeCell ref="E93:G93"/>
    <mergeCell ref="D10:E10"/>
    <mergeCell ref="D23:E23"/>
    <mergeCell ref="D49:E49"/>
    <mergeCell ref="B52:E52"/>
    <mergeCell ref="E28:F28"/>
    <mergeCell ref="E29:F29"/>
    <mergeCell ref="E34:F38"/>
    <mergeCell ref="E41:F45"/>
    <mergeCell ref="D11:E11"/>
  </mergeCells>
  <hyperlinks>
    <hyperlink ref="B95" location="Allocation!A1" display="Allocation!A1" xr:uid="{00000000-0004-0000-0C00-000000000000}"/>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1000000}">
          <x14:formula1>
            <xm:f>Lists!$Z$4:$AA$4</xm:f>
          </x14:formula1>
          <xm:sqref>C81</xm:sqref>
        </x14:dataValidation>
        <x14:dataValidation type="list" allowBlank="1" showInputMessage="1" showErrorMessage="1" xr:uid="{00000000-0002-0000-0C00-000002000000}">
          <x14:formula1>
            <xm:f>OFFSET(Lists!$Z$4,1,MATCH($C81,Lists!$Z$4:$AA$4,0)-1,26,1)</xm:f>
          </x14:formula1>
          <xm:sqref>C82</xm:sqref>
        </x14:dataValidation>
        <x14:dataValidation type="list" allowBlank="1" showInputMessage="1" showErrorMessage="1" xr:uid="{00000000-0002-0000-0C00-000003000000}">
          <x14:formula1>
            <xm:f>Lists!$P$5:$P$34</xm:f>
          </x14:formula1>
          <xm:sqref>C9</xm:sqref>
        </x14:dataValidation>
        <x14:dataValidation type="list" allowBlank="1" showInputMessage="1" showErrorMessage="1" xr:uid="{C44804A0-799F-48B2-AAD2-459F9A11ACE4}">
          <x14:formula1>
            <xm:f>Lists!$B$6</xm:f>
          </x14:formula1>
          <xm:sqref>C31</xm:sqref>
        </x14:dataValidation>
        <x14:dataValidation type="list" allowBlank="1" showInputMessage="1" showErrorMessage="1" xr:uid="{00000000-0002-0000-0C00-000000000000}">
          <x14:formula1>
            <xm:f>Lists!$AB$5:$AB$8</xm:f>
          </x14:formula1>
          <xm:sqref>C23 C25</xm:sqref>
        </x14:dataValidation>
        <x14:dataValidation type="list" allowBlank="1" showInputMessage="1" showErrorMessage="1" xr:uid="{D3CB515B-AAB7-416A-AFF6-13691CC8BC09}">
          <x14:formula1>
            <xm:f>Lists!$Q$5:$Q$9</xm:f>
          </x14:formula1>
          <xm:sqref>C11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4" tint="-0.249977111117893"/>
  </sheetPr>
  <dimension ref="A1:W81"/>
  <sheetViews>
    <sheetView showGridLines="0" topLeftCell="A10" zoomScale="115" zoomScaleNormal="115" workbookViewId="0">
      <selection activeCell="A13" sqref="A13"/>
    </sheetView>
  </sheetViews>
  <sheetFormatPr defaultColWidth="8.6640625" defaultRowHeight="14.4" x14ac:dyDescent="0.3"/>
  <cols>
    <col min="1" max="1" width="7.44140625" customWidth="1"/>
    <col min="2" max="2" width="14.33203125" customWidth="1"/>
    <col min="3" max="3" width="52.109375" customWidth="1"/>
    <col min="4" max="4" width="31.109375" customWidth="1"/>
    <col min="5" max="5" width="6.44140625" customWidth="1"/>
    <col min="7" max="7" width="29.5546875" bestFit="1" customWidth="1"/>
    <col min="8" max="8" width="28.88671875" bestFit="1" customWidth="1"/>
    <col min="9" max="9" width="39.33203125" bestFit="1" customWidth="1"/>
    <col min="10" max="10" width="38.5546875" bestFit="1" customWidth="1"/>
    <col min="11" max="11" width="38.6640625" bestFit="1" customWidth="1"/>
    <col min="12" max="12" width="38.109375" bestFit="1" customWidth="1"/>
    <col min="13" max="17" width="27.88671875" customWidth="1"/>
  </cols>
  <sheetData>
    <row r="1" spans="1:17" x14ac:dyDescent="0.3">
      <c r="A1" s="347"/>
    </row>
    <row r="2" spans="1:17" x14ac:dyDescent="0.3">
      <c r="A2" s="96" t="s">
        <v>686</v>
      </c>
    </row>
    <row r="4" spans="1:17" s="78" customFormat="1" x14ac:dyDescent="0.3">
      <c r="A4" s="6" t="s">
        <v>687</v>
      </c>
      <c r="B4" s="6"/>
      <c r="C4" s="6"/>
      <c r="D4" s="6"/>
      <c r="E4" s="6"/>
      <c r="F4" s="6"/>
      <c r="G4" s="20"/>
      <c r="H4" s="20"/>
      <c r="I4" s="20"/>
      <c r="J4" s="20"/>
      <c r="K4" s="20"/>
      <c r="L4" s="20"/>
      <c r="M4" s="20"/>
      <c r="N4" s="20"/>
      <c r="O4" s="20"/>
      <c r="P4" s="20"/>
      <c r="Q4" s="20"/>
    </row>
    <row r="5" spans="1:17" x14ac:dyDescent="0.3">
      <c r="G5" s="2"/>
      <c r="H5" s="2"/>
      <c r="I5" s="2"/>
      <c r="J5" s="2"/>
      <c r="K5" s="2"/>
      <c r="L5" s="2"/>
      <c r="M5" s="2"/>
      <c r="N5" s="2"/>
      <c r="O5" s="2"/>
      <c r="P5" s="2"/>
      <c r="Q5" s="2"/>
    </row>
    <row r="6" spans="1:17" x14ac:dyDescent="0.3">
      <c r="A6" s="71" t="s">
        <v>688</v>
      </c>
      <c r="G6" s="2"/>
      <c r="H6" s="2"/>
      <c r="I6" s="2"/>
      <c r="J6" s="2"/>
      <c r="K6" s="2"/>
      <c r="L6" s="2"/>
      <c r="M6" s="2"/>
      <c r="N6" s="2"/>
      <c r="O6" s="2"/>
      <c r="P6" s="2"/>
      <c r="Q6" s="2"/>
    </row>
    <row r="7" spans="1:17" x14ac:dyDescent="0.3">
      <c r="A7" s="96" t="s">
        <v>689</v>
      </c>
    </row>
    <row r="8" spans="1:17" x14ac:dyDescent="0.3">
      <c r="A8" s="96" t="s">
        <v>690</v>
      </c>
    </row>
    <row r="9" spans="1:17" x14ac:dyDescent="0.3">
      <c r="A9" s="96" t="s">
        <v>691</v>
      </c>
      <c r="G9" s="2"/>
      <c r="H9" s="2"/>
      <c r="I9" s="2"/>
      <c r="J9" s="2"/>
      <c r="K9" s="2"/>
      <c r="L9" s="2"/>
      <c r="M9" s="2"/>
      <c r="N9" s="2"/>
      <c r="O9" s="2"/>
      <c r="P9" s="2"/>
      <c r="Q9" s="2"/>
    </row>
    <row r="10" spans="1:17" x14ac:dyDescent="0.3">
      <c r="G10" s="2"/>
      <c r="H10" s="2"/>
      <c r="I10" s="2"/>
      <c r="J10" s="2"/>
      <c r="K10" s="2"/>
      <c r="L10" s="2"/>
      <c r="M10" s="2"/>
      <c r="N10" s="2"/>
      <c r="O10" s="2"/>
      <c r="P10" s="2"/>
      <c r="Q10" s="2"/>
    </row>
    <row r="11" spans="1:17" ht="31.5" customHeight="1" x14ac:dyDescent="0.3">
      <c r="C11" s="34"/>
      <c r="D11" s="34"/>
      <c r="E11" s="34"/>
      <c r="F11" s="35" t="s">
        <v>692</v>
      </c>
      <c r="G11" s="509" t="str" cm="1">
        <f t="array" ref="G11:G13">'Bioethanol Portions'!D26:D28</f>
        <v>Bioethanol from Corn (Global)</v>
      </c>
      <c r="H11" s="509" t="str" cm="1">
        <f t="array" ref="H11:H13">'Bioethanol Portions'!E26:E28</f>
        <v>Bioethanol from Wheat (non-durum) (Global)</v>
      </c>
      <c r="I11" s="509" t="str" cm="1">
        <f t="array" ref="I11:I13">'Animal feeds (WDGS) Portions'!D27:D29</f>
        <v>Animal feeds (WDGS) from Corn (Global)</v>
      </c>
      <c r="J11" s="509" t="str" cm="1">
        <f t="array" ref="J11:J13">'Animal feeds (WDGS) Portions'!E27:E29</f>
        <v>Animal feeds (WDGS) from Wheat (non-durum) (Global)</v>
      </c>
      <c r="K11" s="509" t="str" cm="1">
        <f t="array" ref="K11:K13">'Animal feeds (DDGS) Portions'!D27:D29</f>
        <v>Animal feeds (DDGS) from Corn (Global)</v>
      </c>
      <c r="L11" s="509" t="str" cm="1">
        <f t="array" ref="L11:L13">'Animal feeds (DDGS) Portions'!E27:E29</f>
        <v>Animal feeds (DDGS) from Wheat (non-durum) (Global)</v>
      </c>
      <c r="M11" s="147"/>
      <c r="N11" s="147"/>
      <c r="O11" s="147"/>
      <c r="P11" s="147"/>
      <c r="Q11" s="147"/>
    </row>
    <row r="12" spans="1:17" x14ac:dyDescent="0.3">
      <c r="C12" s="34"/>
      <c r="D12" s="34"/>
      <c r="E12" s="34"/>
      <c r="F12" s="35" t="s">
        <v>610</v>
      </c>
      <c r="G12" s="531">
        <v>4949694857.8749981</v>
      </c>
      <c r="H12" s="531">
        <v>905323878.1250025</v>
      </c>
      <c r="I12" s="531">
        <v>548298846.90896761</v>
      </c>
      <c r="J12" s="531">
        <v>100286593.9635323</v>
      </c>
      <c r="K12" s="531">
        <v>2311838582.8478303</v>
      </c>
      <c r="L12" s="531">
        <v>422846808.03966933</v>
      </c>
      <c r="M12" s="332"/>
      <c r="N12" s="332"/>
      <c r="O12" s="332"/>
      <c r="P12" s="332"/>
      <c r="Q12" s="332"/>
    </row>
    <row r="13" spans="1:17" x14ac:dyDescent="0.3">
      <c r="B13" s="46"/>
      <c r="C13" s="34"/>
      <c r="D13" s="34"/>
      <c r="E13" s="34"/>
      <c r="F13" s="38" t="s">
        <v>127</v>
      </c>
      <c r="G13" s="509" t="str">
        <v>MJ</v>
      </c>
      <c r="H13" s="509" t="str">
        <v>MJ</v>
      </c>
      <c r="I13" s="509" t="str">
        <v>MJ</v>
      </c>
      <c r="J13" s="509" t="str">
        <v>MJ</v>
      </c>
      <c r="K13" s="509" t="str">
        <v>MJ</v>
      </c>
      <c r="L13" s="509" t="str">
        <v>MJ</v>
      </c>
      <c r="M13" s="147"/>
      <c r="N13" s="147"/>
      <c r="O13" s="147"/>
      <c r="P13" s="147"/>
      <c r="Q13" s="147"/>
    </row>
    <row r="14" spans="1:17" x14ac:dyDescent="0.3">
      <c r="B14" s="2"/>
      <c r="C14" s="35" t="s">
        <v>693</v>
      </c>
      <c r="D14" s="39" t="s">
        <v>610</v>
      </c>
      <c r="E14" s="40" t="s">
        <v>127</v>
      </c>
      <c r="F14" s="41"/>
      <c r="G14" s="41"/>
      <c r="H14" s="41"/>
      <c r="I14" s="41"/>
      <c r="J14" s="41"/>
      <c r="K14" s="41"/>
      <c r="L14" s="41"/>
      <c r="M14" s="41"/>
      <c r="N14" s="41"/>
      <c r="O14" s="41"/>
      <c r="P14" s="41"/>
      <c r="Q14" s="42"/>
    </row>
    <row r="15" spans="1:17" x14ac:dyDescent="0.3">
      <c r="C15" s="507" t="str" cm="1">
        <f t="array" ref="C15:E15">'Corn (Global)'!B104:D104</f>
        <v>Corn (Global)</v>
      </c>
      <c r="D15" s="529">
        <v>496999.94899</v>
      </c>
      <c r="E15" s="507" t="str">
        <v>t</v>
      </c>
      <c r="F15" s="41"/>
      <c r="G15" s="45">
        <v>1</v>
      </c>
      <c r="H15" s="45">
        <v>0</v>
      </c>
      <c r="I15" s="45">
        <v>1</v>
      </c>
      <c r="J15" s="45">
        <v>0</v>
      </c>
      <c r="K15" s="45">
        <v>1</v>
      </c>
      <c r="L15" s="45">
        <v>0</v>
      </c>
      <c r="M15" s="45" t="s">
        <v>694</v>
      </c>
      <c r="N15" s="45" t="s">
        <v>694</v>
      </c>
      <c r="O15" s="45" t="s">
        <v>694</v>
      </c>
      <c r="P15" s="45" t="s">
        <v>694</v>
      </c>
      <c r="Q15" s="45" t="s">
        <v>694</v>
      </c>
    </row>
    <row r="16" spans="1:17" x14ac:dyDescent="0.3">
      <c r="C16" s="507" t="str" cm="1">
        <f t="array" ref="C16:E16">'Wheat (non-durum) (Global)'!B104:D104</f>
        <v>Wheat (non-durum) (Global)</v>
      </c>
      <c r="D16" s="529">
        <v>90903.769659999991</v>
      </c>
      <c r="E16" s="507" t="str">
        <v>t</v>
      </c>
      <c r="F16" s="41"/>
      <c r="G16" s="45">
        <v>0</v>
      </c>
      <c r="H16" s="45">
        <v>1</v>
      </c>
      <c r="I16" s="45">
        <v>0</v>
      </c>
      <c r="J16" s="45">
        <v>1</v>
      </c>
      <c r="K16" s="45">
        <v>0</v>
      </c>
      <c r="L16" s="45">
        <v>1</v>
      </c>
      <c r="M16" s="45" t="s">
        <v>694</v>
      </c>
      <c r="N16" s="45" t="s">
        <v>694</v>
      </c>
      <c r="O16" s="45" t="s">
        <v>694</v>
      </c>
      <c r="P16" s="45" t="s">
        <v>694</v>
      </c>
      <c r="Q16" s="45" t="s">
        <v>694</v>
      </c>
    </row>
    <row r="17" spans="1:17" x14ac:dyDescent="0.3">
      <c r="C17" s="508" t="str" cm="1">
        <f t="array" ref="C17:E17">'Natural gas'!B63:D63</f>
        <v>Natural gas, gaseous</v>
      </c>
      <c r="D17" s="530">
        <v>2431374705.7399001</v>
      </c>
      <c r="E17" s="508" t="str">
        <v>MJ</v>
      </c>
      <c r="F17" s="41"/>
      <c r="G17" s="45">
        <v>1</v>
      </c>
      <c r="H17" s="45">
        <v>1</v>
      </c>
      <c r="I17" s="45">
        <v>1</v>
      </c>
      <c r="J17" s="45">
        <v>1</v>
      </c>
      <c r="K17" s="45">
        <v>1</v>
      </c>
      <c r="L17" s="45">
        <v>1</v>
      </c>
      <c r="M17" s="45" t="s">
        <v>694</v>
      </c>
      <c r="N17" s="45" t="s">
        <v>694</v>
      </c>
      <c r="O17" s="45" t="s">
        <v>694</v>
      </c>
      <c r="P17" s="45" t="s">
        <v>694</v>
      </c>
      <c r="Q17" s="45" t="s">
        <v>694</v>
      </c>
    </row>
    <row r="18" spans="1:17" x14ac:dyDescent="0.3">
      <c r="C18" s="508" t="str" cm="1">
        <f t="array" ref="C18:E18">'Grid electricity (ON,CA)'!B69:D69</f>
        <v>Purchased electricity from grid (Canada/ON)</v>
      </c>
      <c r="D18" s="530">
        <v>76800023.999999985</v>
      </c>
      <c r="E18" s="508" t="str">
        <v>kWh</v>
      </c>
      <c r="F18" s="41"/>
      <c r="G18" s="45">
        <v>1</v>
      </c>
      <c r="H18" s="45">
        <v>1</v>
      </c>
      <c r="I18" s="45">
        <v>1</v>
      </c>
      <c r="J18" s="45">
        <v>1</v>
      </c>
      <c r="K18" s="45">
        <v>1</v>
      </c>
      <c r="L18" s="45">
        <v>1</v>
      </c>
      <c r="M18" s="45" t="s">
        <v>694</v>
      </c>
      <c r="N18" s="45" t="s">
        <v>694</v>
      </c>
      <c r="O18" s="45" t="s">
        <v>694</v>
      </c>
      <c r="P18" s="45" t="s">
        <v>694</v>
      </c>
      <c r="Q18" s="45" t="s">
        <v>694</v>
      </c>
    </row>
    <row r="19" spans="1:17" x14ac:dyDescent="0.3">
      <c r="C19" s="508" t="str" cm="1">
        <f t="array" ref="C19:E19">'On-site Electricity (Solar)'!B69:D69</f>
        <v>Low-CI electricity (produced on-site or RECs-PPA) (Select grid)</v>
      </c>
      <c r="D19" s="530">
        <v>8351.9999999999982</v>
      </c>
      <c r="E19" s="508" t="str">
        <v>kWh</v>
      </c>
      <c r="F19" s="41"/>
      <c r="G19" s="45">
        <v>1</v>
      </c>
      <c r="H19" s="45">
        <v>1</v>
      </c>
      <c r="I19" s="45">
        <v>1</v>
      </c>
      <c r="J19" s="45">
        <v>1</v>
      </c>
      <c r="K19" s="45">
        <v>1</v>
      </c>
      <c r="L19" s="45">
        <v>1</v>
      </c>
      <c r="M19" s="45" t="s">
        <v>694</v>
      </c>
      <c r="N19" s="45" t="s">
        <v>694</v>
      </c>
      <c r="O19" s="45" t="s">
        <v>694</v>
      </c>
      <c r="P19" s="45" t="s">
        <v>694</v>
      </c>
      <c r="Q19" s="45" t="s">
        <v>694</v>
      </c>
    </row>
    <row r="20" spans="1:17" x14ac:dyDescent="0.3">
      <c r="C20" s="508" t="str" cm="1">
        <f t="array" ref="C20:E20">'Pre-set Chemical Mix'!B93:D93</f>
        <v>Chemical use per MJ of conventional ethanol</v>
      </c>
      <c r="D20" s="530">
        <v>5855018736</v>
      </c>
      <c r="E20" s="508" t="str">
        <v>MJ</v>
      </c>
      <c r="F20" s="41"/>
      <c r="G20" s="45">
        <v>1</v>
      </c>
      <c r="H20" s="45">
        <v>1</v>
      </c>
      <c r="I20" s="45">
        <v>1</v>
      </c>
      <c r="J20" s="45">
        <v>1</v>
      </c>
      <c r="K20" s="45">
        <v>1</v>
      </c>
      <c r="L20" s="45">
        <v>1</v>
      </c>
      <c r="M20" s="45" t="s">
        <v>694</v>
      </c>
      <c r="N20" s="45" t="s">
        <v>694</v>
      </c>
      <c r="O20" s="45" t="s">
        <v>694</v>
      </c>
      <c r="P20" s="45" t="s">
        <v>694</v>
      </c>
      <c r="Q20" s="45" t="s">
        <v>694</v>
      </c>
    </row>
    <row r="21" spans="1:17" x14ac:dyDescent="0.3">
      <c r="C21" s="43"/>
      <c r="D21" s="332"/>
      <c r="E21" s="37"/>
      <c r="F21" s="41"/>
      <c r="G21" s="45" t="s">
        <v>694</v>
      </c>
      <c r="H21" s="45" t="s">
        <v>694</v>
      </c>
      <c r="I21" s="45" t="s">
        <v>694</v>
      </c>
      <c r="J21" s="45" t="s">
        <v>694</v>
      </c>
      <c r="K21" s="45" t="s">
        <v>694</v>
      </c>
      <c r="L21" s="45" t="s">
        <v>694</v>
      </c>
      <c r="M21" s="45" t="s">
        <v>694</v>
      </c>
      <c r="N21" s="45" t="s">
        <v>694</v>
      </c>
      <c r="O21" s="45" t="s">
        <v>694</v>
      </c>
      <c r="P21" s="45" t="s">
        <v>694</v>
      </c>
      <c r="Q21" s="45" t="s">
        <v>694</v>
      </c>
    </row>
    <row r="22" spans="1:17" x14ac:dyDescent="0.3">
      <c r="C22" s="43"/>
      <c r="D22" s="332"/>
      <c r="E22" s="37"/>
      <c r="F22" s="41"/>
      <c r="G22" s="45" t="s">
        <v>694</v>
      </c>
      <c r="H22" s="45" t="s">
        <v>694</v>
      </c>
      <c r="I22" s="45" t="s">
        <v>694</v>
      </c>
      <c r="J22" s="45" t="s">
        <v>694</v>
      </c>
      <c r="K22" s="45" t="s">
        <v>694</v>
      </c>
      <c r="L22" s="45" t="s">
        <v>694</v>
      </c>
      <c r="M22" s="45" t="s">
        <v>694</v>
      </c>
      <c r="N22" s="45" t="s">
        <v>694</v>
      </c>
      <c r="O22" s="45" t="s">
        <v>694</v>
      </c>
      <c r="P22" s="45" t="s">
        <v>694</v>
      </c>
      <c r="Q22" s="45" t="s">
        <v>694</v>
      </c>
    </row>
    <row r="23" spans="1:17" x14ac:dyDescent="0.3">
      <c r="C23" s="43"/>
      <c r="D23" s="332"/>
      <c r="E23" s="37"/>
      <c r="F23" s="41"/>
      <c r="G23" s="45" t="s">
        <v>694</v>
      </c>
      <c r="H23" s="45" t="s">
        <v>694</v>
      </c>
      <c r="I23" s="45" t="s">
        <v>694</v>
      </c>
      <c r="J23" s="45" t="s">
        <v>694</v>
      </c>
      <c r="K23" s="45" t="s">
        <v>694</v>
      </c>
      <c r="L23" s="45" t="s">
        <v>694</v>
      </c>
      <c r="M23" s="45" t="s">
        <v>694</v>
      </c>
      <c r="N23" s="45" t="s">
        <v>694</v>
      </c>
      <c r="O23" s="45" t="s">
        <v>694</v>
      </c>
      <c r="P23" s="45" t="s">
        <v>694</v>
      </c>
      <c r="Q23" s="45" t="s">
        <v>694</v>
      </c>
    </row>
    <row r="24" spans="1:17" x14ac:dyDescent="0.3">
      <c r="C24" s="43"/>
      <c r="D24" s="332"/>
      <c r="E24" s="44"/>
      <c r="F24" s="41"/>
      <c r="G24" s="45" t="s">
        <v>694</v>
      </c>
      <c r="H24" s="45" t="s">
        <v>694</v>
      </c>
      <c r="I24" s="45" t="s">
        <v>694</v>
      </c>
      <c r="J24" s="45" t="s">
        <v>694</v>
      </c>
      <c r="K24" s="45" t="s">
        <v>694</v>
      </c>
      <c r="L24" s="45" t="s">
        <v>694</v>
      </c>
      <c r="M24" s="45" t="s">
        <v>694</v>
      </c>
      <c r="N24" s="45" t="s">
        <v>694</v>
      </c>
      <c r="O24" s="45" t="s">
        <v>694</v>
      </c>
      <c r="P24" s="45" t="s">
        <v>694</v>
      </c>
      <c r="Q24" s="45" t="s">
        <v>694</v>
      </c>
    </row>
    <row r="25" spans="1:17" x14ac:dyDescent="0.3">
      <c r="C25" s="43"/>
      <c r="D25" s="332"/>
      <c r="E25" s="44"/>
      <c r="F25" s="41"/>
      <c r="G25" s="45" t="s">
        <v>694</v>
      </c>
      <c r="H25" s="45" t="s">
        <v>694</v>
      </c>
      <c r="I25" s="45" t="s">
        <v>694</v>
      </c>
      <c r="J25" s="45" t="s">
        <v>694</v>
      </c>
      <c r="K25" s="45" t="s">
        <v>694</v>
      </c>
      <c r="L25" s="45" t="s">
        <v>694</v>
      </c>
      <c r="M25" s="45" t="s">
        <v>694</v>
      </c>
      <c r="N25" s="45" t="s">
        <v>694</v>
      </c>
      <c r="O25" s="45" t="s">
        <v>694</v>
      </c>
      <c r="P25" s="45" t="s">
        <v>694</v>
      </c>
      <c r="Q25" s="45" t="s">
        <v>694</v>
      </c>
    </row>
    <row r="26" spans="1:17" x14ac:dyDescent="0.3">
      <c r="C26" s="43"/>
      <c r="D26" s="332"/>
      <c r="E26" s="44"/>
      <c r="F26" s="41"/>
      <c r="G26" s="45" t="s">
        <v>694</v>
      </c>
      <c r="H26" s="45" t="s">
        <v>694</v>
      </c>
      <c r="I26" s="45" t="s">
        <v>694</v>
      </c>
      <c r="J26" s="45" t="s">
        <v>694</v>
      </c>
      <c r="K26" s="45" t="s">
        <v>694</v>
      </c>
      <c r="L26" s="45" t="s">
        <v>694</v>
      </c>
      <c r="M26" s="45" t="s">
        <v>694</v>
      </c>
      <c r="N26" s="45" t="s">
        <v>694</v>
      </c>
      <c r="O26" s="45" t="s">
        <v>694</v>
      </c>
      <c r="P26" s="45" t="s">
        <v>694</v>
      </c>
      <c r="Q26" s="45" t="s">
        <v>694</v>
      </c>
    </row>
    <row r="27" spans="1:17" x14ac:dyDescent="0.3">
      <c r="D27" s="533"/>
      <c r="E27" s="1"/>
      <c r="G27" s="2"/>
      <c r="H27" s="2"/>
      <c r="I27" s="2"/>
      <c r="J27" s="2"/>
      <c r="K27" s="2"/>
      <c r="L27" s="2"/>
      <c r="M27" s="2"/>
      <c r="N27" s="2"/>
      <c r="O27" s="2"/>
      <c r="P27" s="2"/>
      <c r="Q27" s="2"/>
    </row>
    <row r="28" spans="1:17" x14ac:dyDescent="0.3">
      <c r="D28" s="1"/>
      <c r="E28" s="1"/>
      <c r="G28" s="2"/>
      <c r="H28" s="2"/>
      <c r="I28" s="2"/>
      <c r="J28" s="2"/>
      <c r="K28" s="2"/>
      <c r="L28" s="2"/>
      <c r="M28" s="2"/>
      <c r="N28" s="2"/>
      <c r="O28" s="2"/>
      <c r="P28" s="2"/>
      <c r="Q28" s="2"/>
    </row>
    <row r="29" spans="1:17" x14ac:dyDescent="0.3">
      <c r="A29" s="71" t="s">
        <v>695</v>
      </c>
      <c r="G29" s="2"/>
      <c r="H29" s="2"/>
      <c r="I29" s="2"/>
      <c r="J29" s="2"/>
      <c r="K29" s="2"/>
      <c r="L29" s="2"/>
      <c r="M29" s="2"/>
      <c r="N29" s="2"/>
      <c r="O29" s="2"/>
      <c r="P29" s="2"/>
      <c r="Q29" s="2"/>
    </row>
    <row r="30" spans="1:17" x14ac:dyDescent="0.3">
      <c r="A30" s="96" t="s">
        <v>691</v>
      </c>
      <c r="D30" s="1"/>
      <c r="E30" s="1"/>
      <c r="G30" s="2"/>
      <c r="H30" s="2"/>
      <c r="I30" s="2"/>
      <c r="J30" s="2"/>
      <c r="K30" s="2"/>
      <c r="L30" s="2"/>
      <c r="M30" s="2"/>
      <c r="N30" s="2"/>
      <c r="O30" s="2"/>
      <c r="P30" s="2"/>
      <c r="Q30" s="2"/>
    </row>
    <row r="31" spans="1:17" x14ac:dyDescent="0.3">
      <c r="A31" s="99" t="s">
        <v>696</v>
      </c>
      <c r="D31" s="1"/>
      <c r="E31" s="1"/>
      <c r="G31" s="2"/>
      <c r="H31" s="2"/>
      <c r="I31" s="2"/>
      <c r="J31" s="2"/>
      <c r="K31" s="2"/>
      <c r="L31" s="2"/>
      <c r="M31" s="2"/>
      <c r="N31" s="2"/>
      <c r="O31" s="2"/>
      <c r="P31" s="2"/>
      <c r="Q31" s="2"/>
    </row>
    <row r="32" spans="1:17" x14ac:dyDescent="0.3">
      <c r="C32" s="34"/>
      <c r="D32" s="34"/>
      <c r="E32" s="34"/>
      <c r="F32" s="35" t="s">
        <v>692</v>
      </c>
      <c r="G32" s="70" t="str">
        <f t="shared" ref="G32:J34" si="0">IF(G11=0, "", G11)</f>
        <v>Bioethanol from Corn (Global)</v>
      </c>
      <c r="H32" s="70" t="str">
        <f t="shared" si="0"/>
        <v>Bioethanol from Wheat (non-durum) (Global)</v>
      </c>
      <c r="I32" s="70" t="str">
        <f t="shared" si="0"/>
        <v>Animal feeds (WDGS) from Corn (Global)</v>
      </c>
      <c r="J32" s="70" t="str">
        <f t="shared" si="0"/>
        <v>Animal feeds (WDGS) from Wheat (non-durum) (Global)</v>
      </c>
      <c r="K32" s="70" t="str">
        <f t="shared" ref="K32:Q32" si="1">IF(K11=0, "", K11)</f>
        <v>Animal feeds (DDGS) from Corn (Global)</v>
      </c>
      <c r="L32" s="70" t="str">
        <f t="shared" si="1"/>
        <v>Animal feeds (DDGS) from Wheat (non-durum) (Global)</v>
      </c>
      <c r="M32" s="70" t="str">
        <f t="shared" si="1"/>
        <v/>
      </c>
      <c r="N32" s="70" t="str">
        <f t="shared" si="1"/>
        <v/>
      </c>
      <c r="O32" s="70" t="str">
        <f t="shared" si="1"/>
        <v/>
      </c>
      <c r="P32" s="70" t="str">
        <f t="shared" si="1"/>
        <v/>
      </c>
      <c r="Q32" s="70" t="str">
        <f t="shared" si="1"/>
        <v/>
      </c>
    </row>
    <row r="33" spans="3:17" x14ac:dyDescent="0.3">
      <c r="C33" s="34"/>
      <c r="D33" s="34"/>
      <c r="E33" s="34"/>
      <c r="F33" s="35" t="s">
        <v>610</v>
      </c>
      <c r="G33" s="336">
        <f t="shared" si="0"/>
        <v>4949694857.8749981</v>
      </c>
      <c r="H33" s="336">
        <f t="shared" si="0"/>
        <v>905323878.1250025</v>
      </c>
      <c r="I33" s="336">
        <f t="shared" si="0"/>
        <v>548298846.90896761</v>
      </c>
      <c r="J33" s="336">
        <f t="shared" si="0"/>
        <v>100286593.9635323</v>
      </c>
      <c r="K33" s="336">
        <f t="shared" ref="K33:Q33" si="2">IF(K12=0, "", K12)</f>
        <v>2311838582.8478303</v>
      </c>
      <c r="L33" s="336">
        <f t="shared" si="2"/>
        <v>422846808.03966933</v>
      </c>
      <c r="M33" s="336" t="str">
        <f t="shared" si="2"/>
        <v/>
      </c>
      <c r="N33" s="336" t="str">
        <f t="shared" si="2"/>
        <v/>
      </c>
      <c r="O33" s="336" t="str">
        <f t="shared" si="2"/>
        <v/>
      </c>
      <c r="P33" s="336" t="str">
        <f t="shared" si="2"/>
        <v/>
      </c>
      <c r="Q33" s="336" t="str">
        <f t="shared" si="2"/>
        <v/>
      </c>
    </row>
    <row r="34" spans="3:17" x14ac:dyDescent="0.3">
      <c r="C34" s="34"/>
      <c r="D34" s="34"/>
      <c r="E34" s="34"/>
      <c r="F34" s="38" t="s">
        <v>127</v>
      </c>
      <c r="G34" s="70" t="str">
        <f t="shared" si="0"/>
        <v>MJ</v>
      </c>
      <c r="H34" s="70" t="str">
        <f t="shared" si="0"/>
        <v>MJ</v>
      </c>
      <c r="I34" s="70" t="str">
        <f t="shared" si="0"/>
        <v>MJ</v>
      </c>
      <c r="J34" s="70" t="str">
        <f t="shared" si="0"/>
        <v>MJ</v>
      </c>
      <c r="K34" s="70" t="str">
        <f t="shared" ref="K34:Q34" si="3">IF(K13=0, "", K13)</f>
        <v>MJ</v>
      </c>
      <c r="L34" s="70" t="str">
        <f t="shared" si="3"/>
        <v>MJ</v>
      </c>
      <c r="M34" s="70" t="str">
        <f t="shared" si="3"/>
        <v/>
      </c>
      <c r="N34" s="70" t="str">
        <f t="shared" si="3"/>
        <v/>
      </c>
      <c r="O34" s="70" t="str">
        <f t="shared" si="3"/>
        <v/>
      </c>
      <c r="P34" s="70" t="str">
        <f t="shared" si="3"/>
        <v/>
      </c>
      <c r="Q34" s="70" t="str">
        <f t="shared" si="3"/>
        <v/>
      </c>
    </row>
    <row r="35" spans="3:17" x14ac:dyDescent="0.3">
      <c r="C35" s="35" t="s">
        <v>693</v>
      </c>
      <c r="D35" s="39" t="s">
        <v>610</v>
      </c>
      <c r="E35" s="40" t="s">
        <v>127</v>
      </c>
      <c r="F35" s="41"/>
      <c r="G35" s="41"/>
      <c r="H35" s="41"/>
      <c r="I35" s="41"/>
      <c r="J35" s="41"/>
      <c r="K35" s="41"/>
      <c r="L35" s="41"/>
      <c r="M35" s="41"/>
      <c r="N35" s="41"/>
      <c r="O35" s="41"/>
      <c r="P35" s="41"/>
      <c r="Q35" s="42"/>
    </row>
    <row r="36" spans="3:17" x14ac:dyDescent="0.3">
      <c r="C36" s="70" t="str">
        <f>IF(C15=0, "", C15)</f>
        <v>Corn (Global)</v>
      </c>
      <c r="D36" s="589">
        <f>IF(D15=0, "", D15)</f>
        <v>496999.94899</v>
      </c>
      <c r="E36" s="70" t="str">
        <f>IF(E15=0, "", E15)</f>
        <v>t</v>
      </c>
      <c r="F36" s="41"/>
      <c r="G36" s="586">
        <f t="shared" ref="G36:M36" si="4">IFERROR(G15*G$33/SUMPRODUCT($G$33:$Q$33,$G15:$Q15), "")</f>
        <v>0.63377735597647666</v>
      </c>
      <c r="H36" s="586">
        <f t="shared" si="4"/>
        <v>0</v>
      </c>
      <c r="I36" s="586">
        <f t="shared" si="4"/>
        <v>7.020622552641656E-2</v>
      </c>
      <c r="J36" s="586">
        <f t="shared" si="4"/>
        <v>0</v>
      </c>
      <c r="K36" s="586">
        <f t="shared" si="4"/>
        <v>0.29601641849710675</v>
      </c>
      <c r="L36" s="586">
        <f t="shared" si="4"/>
        <v>0</v>
      </c>
      <c r="M36" s="334" t="str">
        <f t="shared" si="4"/>
        <v/>
      </c>
      <c r="N36" s="334" t="str">
        <f t="shared" ref="N36:Q36" si="5">IFERROR(N15*N$33/SUMPRODUCT($G$33:$Q$33,$G15:$Q15), "")</f>
        <v/>
      </c>
      <c r="O36" s="334" t="str">
        <f t="shared" si="5"/>
        <v/>
      </c>
      <c r="P36" s="334" t="str">
        <f t="shared" si="5"/>
        <v/>
      </c>
      <c r="Q36" s="334" t="str">
        <f t="shared" si="5"/>
        <v/>
      </c>
    </row>
    <row r="37" spans="3:17" x14ac:dyDescent="0.3">
      <c r="C37" s="70" t="str">
        <f t="shared" ref="C37:E37" si="6">IF(C16=0, "", C16)</f>
        <v>Wheat (non-durum) (Global)</v>
      </c>
      <c r="D37" s="336">
        <f t="shared" si="6"/>
        <v>90903.769659999991</v>
      </c>
      <c r="E37" s="70" t="str">
        <f t="shared" si="6"/>
        <v>t</v>
      </c>
      <c r="F37" s="41"/>
      <c r="G37" s="586">
        <f t="shared" ref="G37:M37" si="7">IFERROR(G16*G$33/SUMPRODUCT($G$33:$Q$33,$G16:$Q16), "")</f>
        <v>0</v>
      </c>
      <c r="H37" s="586">
        <f t="shared" si="7"/>
        <v>0.63377735597647666</v>
      </c>
      <c r="I37" s="586">
        <f t="shared" si="7"/>
        <v>0</v>
      </c>
      <c r="J37" s="586">
        <f t="shared" si="7"/>
        <v>7.020622552641656E-2</v>
      </c>
      <c r="K37" s="586">
        <f t="shared" si="7"/>
        <v>0</v>
      </c>
      <c r="L37" s="586">
        <f t="shared" si="7"/>
        <v>0.29601641849710675</v>
      </c>
      <c r="M37" s="334" t="str">
        <f t="shared" si="7"/>
        <v/>
      </c>
      <c r="N37" s="334" t="str">
        <f t="shared" ref="G37:Q47" si="8">IFERROR(N16*N$33/SUMPRODUCT($G$33:$Q$33,$G16:$Q16), "")</f>
        <v/>
      </c>
      <c r="O37" s="334" t="str">
        <f t="shared" si="8"/>
        <v/>
      </c>
      <c r="P37" s="334" t="str">
        <f t="shared" si="8"/>
        <v/>
      </c>
      <c r="Q37" s="334" t="str">
        <f t="shared" si="8"/>
        <v/>
      </c>
    </row>
    <row r="38" spans="3:17" x14ac:dyDescent="0.3">
      <c r="C38" s="70" t="str">
        <f t="shared" ref="C38:E38" si="9">IF(C17=0, "", C17)</f>
        <v>Natural gas, gaseous</v>
      </c>
      <c r="D38" s="336">
        <f t="shared" si="9"/>
        <v>2431374705.7399001</v>
      </c>
      <c r="E38" s="70" t="str">
        <f t="shared" si="9"/>
        <v>MJ</v>
      </c>
      <c r="F38" s="41"/>
      <c r="G38" s="586">
        <f t="shared" ref="G38:M38" si="10">IFERROR(G17*G$33/SUMPRODUCT($G$33:$Q$33,$G17:$Q17), "")</f>
        <v>0.53578044091068111</v>
      </c>
      <c r="H38" s="586">
        <f t="shared" si="10"/>
        <v>9.7996915065795623E-2</v>
      </c>
      <c r="I38" s="586">
        <f t="shared" si="10"/>
        <v>5.9350688554127354E-2</v>
      </c>
      <c r="J38" s="586">
        <f t="shared" si="10"/>
        <v>1.0855536972289201E-2</v>
      </c>
      <c r="K38" s="586">
        <f t="shared" si="10"/>
        <v>0.25024530416493318</v>
      </c>
      <c r="L38" s="586">
        <f t="shared" si="10"/>
        <v>4.5771114332173568E-2</v>
      </c>
      <c r="M38" s="334" t="str">
        <f t="shared" si="10"/>
        <v/>
      </c>
      <c r="N38" s="334" t="str">
        <f t="shared" si="8"/>
        <v/>
      </c>
      <c r="O38" s="334" t="str">
        <f t="shared" si="8"/>
        <v/>
      </c>
      <c r="P38" s="334" t="str">
        <f t="shared" si="8"/>
        <v/>
      </c>
      <c r="Q38" s="334" t="str">
        <f t="shared" si="8"/>
        <v/>
      </c>
    </row>
    <row r="39" spans="3:17" x14ac:dyDescent="0.3">
      <c r="C39" s="70" t="str">
        <f t="shared" ref="C39:E39" si="11">IF(C18=0, "", C18)</f>
        <v>Purchased electricity from grid (Canada/ON)</v>
      </c>
      <c r="D39" s="336">
        <f t="shared" si="11"/>
        <v>76800023.999999985</v>
      </c>
      <c r="E39" s="70" t="str">
        <f t="shared" si="11"/>
        <v>kWh</v>
      </c>
      <c r="F39" s="41"/>
      <c r="G39" s="586">
        <f t="shared" ref="G39:M39" si="12">IFERROR(G18*G$33/SUMPRODUCT($G$33:$Q$33,$G18:$Q18), "")</f>
        <v>0.53578044091068111</v>
      </c>
      <c r="H39" s="586">
        <f t="shared" si="12"/>
        <v>9.7996915065795623E-2</v>
      </c>
      <c r="I39" s="586">
        <f t="shared" si="12"/>
        <v>5.9350688554127354E-2</v>
      </c>
      <c r="J39" s="586">
        <f t="shared" si="12"/>
        <v>1.0855536972289201E-2</v>
      </c>
      <c r="K39" s="586">
        <f t="shared" si="12"/>
        <v>0.25024530416493318</v>
      </c>
      <c r="L39" s="586">
        <f t="shared" si="12"/>
        <v>4.5771114332173568E-2</v>
      </c>
      <c r="M39" s="334" t="str">
        <f t="shared" si="12"/>
        <v/>
      </c>
      <c r="N39" s="334" t="str">
        <f t="shared" si="8"/>
        <v/>
      </c>
      <c r="O39" s="334" t="str">
        <f t="shared" si="8"/>
        <v/>
      </c>
      <c r="P39" s="334" t="str">
        <f t="shared" si="8"/>
        <v/>
      </c>
      <c r="Q39" s="334" t="str">
        <f t="shared" si="8"/>
        <v/>
      </c>
    </row>
    <row r="40" spans="3:17" x14ac:dyDescent="0.3">
      <c r="C40" s="70" t="str">
        <f t="shared" ref="C40:E40" si="13">IF(C19=0, "", C19)</f>
        <v>Low-CI electricity (produced on-site or RECs-PPA) (Select grid)</v>
      </c>
      <c r="D40" s="336">
        <f t="shared" si="13"/>
        <v>8351.9999999999982</v>
      </c>
      <c r="E40" s="70" t="str">
        <f t="shared" si="13"/>
        <v>kWh</v>
      </c>
      <c r="F40" s="41"/>
      <c r="G40" s="586">
        <f t="shared" ref="G40:M40" si="14">IFERROR(G19*G$33/SUMPRODUCT($G$33:$Q$33,$G19:$Q19), "")</f>
        <v>0.53578044091068111</v>
      </c>
      <c r="H40" s="586">
        <f t="shared" si="14"/>
        <v>9.7996915065795623E-2</v>
      </c>
      <c r="I40" s="586">
        <f t="shared" si="14"/>
        <v>5.9350688554127354E-2</v>
      </c>
      <c r="J40" s="586">
        <f t="shared" si="14"/>
        <v>1.0855536972289201E-2</v>
      </c>
      <c r="K40" s="586">
        <f t="shared" si="14"/>
        <v>0.25024530416493318</v>
      </c>
      <c r="L40" s="586">
        <f t="shared" si="14"/>
        <v>4.5771114332173568E-2</v>
      </c>
      <c r="M40" s="334" t="str">
        <f t="shared" si="14"/>
        <v/>
      </c>
      <c r="N40" s="334" t="str">
        <f t="shared" si="8"/>
        <v/>
      </c>
      <c r="O40" s="334" t="str">
        <f t="shared" si="8"/>
        <v/>
      </c>
      <c r="P40" s="334" t="str">
        <f t="shared" si="8"/>
        <v/>
      </c>
      <c r="Q40" s="334" t="str">
        <f t="shared" si="8"/>
        <v/>
      </c>
    </row>
    <row r="41" spans="3:17" x14ac:dyDescent="0.3">
      <c r="C41" s="70" t="str">
        <f t="shared" ref="C41:E41" si="15">IF(C20=0, "", C20)</f>
        <v>Chemical use per MJ of conventional ethanol</v>
      </c>
      <c r="D41" s="336">
        <f t="shared" si="15"/>
        <v>5855018736</v>
      </c>
      <c r="E41" s="70" t="str">
        <f t="shared" si="15"/>
        <v>MJ</v>
      </c>
      <c r="F41" s="41"/>
      <c r="G41" s="586">
        <f t="shared" ref="G41:M41" si="16">IFERROR(G20*G$33/SUMPRODUCT($G$33:$Q$33,$G20:$Q20), "")</f>
        <v>0.53578044091068111</v>
      </c>
      <c r="H41" s="586">
        <f t="shared" si="16"/>
        <v>9.7996915065795623E-2</v>
      </c>
      <c r="I41" s="586">
        <f t="shared" si="16"/>
        <v>5.9350688554127354E-2</v>
      </c>
      <c r="J41" s="586">
        <f t="shared" si="16"/>
        <v>1.0855536972289201E-2</v>
      </c>
      <c r="K41" s="586">
        <f t="shared" si="16"/>
        <v>0.25024530416493318</v>
      </c>
      <c r="L41" s="586">
        <f t="shared" si="16"/>
        <v>4.5771114332173568E-2</v>
      </c>
      <c r="M41" s="334" t="str">
        <f t="shared" si="16"/>
        <v/>
      </c>
      <c r="N41" s="334" t="str">
        <f t="shared" si="8"/>
        <v/>
      </c>
      <c r="O41" s="334" t="str">
        <f t="shared" si="8"/>
        <v/>
      </c>
      <c r="P41" s="334" t="str">
        <f t="shared" si="8"/>
        <v/>
      </c>
      <c r="Q41" s="334" t="str">
        <f t="shared" si="8"/>
        <v/>
      </c>
    </row>
    <row r="42" spans="3:17" x14ac:dyDescent="0.3">
      <c r="C42" s="70" t="str">
        <f t="shared" ref="C42:E42" si="17">IF(C21=0, "", C21)</f>
        <v/>
      </c>
      <c r="D42" s="336" t="str">
        <f t="shared" si="17"/>
        <v/>
      </c>
      <c r="E42" s="70" t="str">
        <f t="shared" si="17"/>
        <v/>
      </c>
      <c r="F42" s="41"/>
      <c r="G42" s="334" t="str">
        <f t="shared" ref="G42:M42" si="18">IFERROR(G21*G$33/SUMPRODUCT($G$33:$Q$33,$G21:$Q21), "")</f>
        <v/>
      </c>
      <c r="H42" s="334" t="str">
        <f t="shared" si="18"/>
        <v/>
      </c>
      <c r="I42" s="334" t="str">
        <f t="shared" si="18"/>
        <v/>
      </c>
      <c r="J42" s="334" t="str">
        <f t="shared" si="18"/>
        <v/>
      </c>
      <c r="K42" s="334" t="str">
        <f t="shared" si="18"/>
        <v/>
      </c>
      <c r="L42" s="334" t="str">
        <f t="shared" si="18"/>
        <v/>
      </c>
      <c r="M42" s="334" t="str">
        <f t="shared" si="18"/>
        <v/>
      </c>
      <c r="N42" s="334" t="str">
        <f t="shared" si="8"/>
        <v/>
      </c>
      <c r="O42" s="334" t="str">
        <f t="shared" si="8"/>
        <v/>
      </c>
      <c r="P42" s="334" t="str">
        <f t="shared" si="8"/>
        <v/>
      </c>
      <c r="Q42" s="334" t="str">
        <f t="shared" si="8"/>
        <v/>
      </c>
    </row>
    <row r="43" spans="3:17" x14ac:dyDescent="0.3">
      <c r="C43" s="70" t="str">
        <f t="shared" ref="C43:E43" si="19">IF(C22=0, "", C22)</f>
        <v/>
      </c>
      <c r="D43" s="336" t="str">
        <f t="shared" si="19"/>
        <v/>
      </c>
      <c r="E43" s="70" t="str">
        <f t="shared" si="19"/>
        <v/>
      </c>
      <c r="F43" s="41"/>
      <c r="G43" s="334" t="str">
        <f t="shared" ref="G43:M43" si="20">IFERROR(G22*G$33/SUMPRODUCT($G$33:$Q$33,$G22:$Q22), "")</f>
        <v/>
      </c>
      <c r="H43" s="334" t="str">
        <f t="shared" si="20"/>
        <v/>
      </c>
      <c r="I43" s="334" t="str">
        <f t="shared" si="20"/>
        <v/>
      </c>
      <c r="J43" s="334" t="str">
        <f t="shared" si="20"/>
        <v/>
      </c>
      <c r="K43" s="334" t="str">
        <f t="shared" si="20"/>
        <v/>
      </c>
      <c r="L43" s="334" t="str">
        <f t="shared" si="20"/>
        <v/>
      </c>
      <c r="M43" s="334" t="str">
        <f t="shared" si="20"/>
        <v/>
      </c>
      <c r="N43" s="334" t="str">
        <f t="shared" si="8"/>
        <v/>
      </c>
      <c r="O43" s="334" t="str">
        <f t="shared" si="8"/>
        <v/>
      </c>
      <c r="P43" s="334" t="str">
        <f t="shared" si="8"/>
        <v/>
      </c>
      <c r="Q43" s="334" t="str">
        <f t="shared" si="8"/>
        <v/>
      </c>
    </row>
    <row r="44" spans="3:17" x14ac:dyDescent="0.3">
      <c r="C44" s="70" t="str">
        <f t="shared" ref="C44:E44" si="21">IF(C23=0, "", C23)</f>
        <v/>
      </c>
      <c r="D44" s="336" t="str">
        <f t="shared" si="21"/>
        <v/>
      </c>
      <c r="E44" s="70" t="str">
        <f t="shared" si="21"/>
        <v/>
      </c>
      <c r="F44" s="41"/>
      <c r="G44" s="334" t="str">
        <f t="shared" ref="G44:M44" si="22">IFERROR(G23*G$33/SUMPRODUCT($G$33:$Q$33,$G23:$Q23), "")</f>
        <v/>
      </c>
      <c r="H44" s="334" t="str">
        <f t="shared" si="22"/>
        <v/>
      </c>
      <c r="I44" s="334" t="str">
        <f t="shared" si="22"/>
        <v/>
      </c>
      <c r="J44" s="334" t="str">
        <f t="shared" si="22"/>
        <v/>
      </c>
      <c r="K44" s="334" t="str">
        <f t="shared" si="22"/>
        <v/>
      </c>
      <c r="L44" s="334" t="str">
        <f t="shared" si="22"/>
        <v/>
      </c>
      <c r="M44" s="334" t="str">
        <f t="shared" si="22"/>
        <v/>
      </c>
      <c r="N44" s="334" t="str">
        <f t="shared" si="8"/>
        <v/>
      </c>
      <c r="O44" s="334" t="str">
        <f t="shared" si="8"/>
        <v/>
      </c>
      <c r="P44" s="334" t="str">
        <f t="shared" si="8"/>
        <v/>
      </c>
      <c r="Q44" s="334" t="str">
        <f t="shared" si="8"/>
        <v/>
      </c>
    </row>
    <row r="45" spans="3:17" x14ac:dyDescent="0.3">
      <c r="C45" s="70" t="str">
        <f t="shared" ref="C45:E45" si="23">IF(C24=0, "", C24)</f>
        <v/>
      </c>
      <c r="D45" s="336" t="str">
        <f t="shared" si="23"/>
        <v/>
      </c>
      <c r="E45" s="70" t="str">
        <f t="shared" si="23"/>
        <v/>
      </c>
      <c r="F45" s="41"/>
      <c r="G45" s="334" t="str">
        <f t="shared" si="8"/>
        <v/>
      </c>
      <c r="H45" s="334" t="str">
        <f t="shared" si="8"/>
        <v/>
      </c>
      <c r="I45" s="334" t="str">
        <f t="shared" si="8"/>
        <v/>
      </c>
      <c r="J45" s="334" t="str">
        <f t="shared" si="8"/>
        <v/>
      </c>
      <c r="K45" s="334" t="str">
        <f t="shared" si="8"/>
        <v/>
      </c>
      <c r="L45" s="334" t="str">
        <f t="shared" si="8"/>
        <v/>
      </c>
      <c r="M45" s="334" t="str">
        <f t="shared" si="8"/>
        <v/>
      </c>
      <c r="N45" s="334" t="str">
        <f t="shared" si="8"/>
        <v/>
      </c>
      <c r="O45" s="334" t="str">
        <f t="shared" si="8"/>
        <v/>
      </c>
      <c r="P45" s="334" t="str">
        <f t="shared" si="8"/>
        <v/>
      </c>
      <c r="Q45" s="334" t="str">
        <f t="shared" si="8"/>
        <v/>
      </c>
    </row>
    <row r="46" spans="3:17" x14ac:dyDescent="0.3">
      <c r="C46" s="70" t="str">
        <f t="shared" ref="C46:E46" si="24">IF(C25=0, "", C25)</f>
        <v/>
      </c>
      <c r="D46" s="336" t="str">
        <f t="shared" si="24"/>
        <v/>
      </c>
      <c r="E46" s="70" t="str">
        <f t="shared" si="24"/>
        <v/>
      </c>
      <c r="F46" s="41"/>
      <c r="G46" s="334" t="str">
        <f t="shared" si="8"/>
        <v/>
      </c>
      <c r="H46" s="334" t="str">
        <f t="shared" si="8"/>
        <v/>
      </c>
      <c r="I46" s="334" t="str">
        <f t="shared" si="8"/>
        <v/>
      </c>
      <c r="J46" s="334" t="str">
        <f t="shared" si="8"/>
        <v/>
      </c>
      <c r="K46" s="334" t="str">
        <f t="shared" si="8"/>
        <v/>
      </c>
      <c r="L46" s="334" t="str">
        <f t="shared" si="8"/>
        <v/>
      </c>
      <c r="M46" s="334" t="str">
        <f t="shared" si="8"/>
        <v/>
      </c>
      <c r="N46" s="334" t="str">
        <f t="shared" si="8"/>
        <v/>
      </c>
      <c r="O46" s="334" t="str">
        <f t="shared" si="8"/>
        <v/>
      </c>
      <c r="P46" s="334" t="str">
        <f t="shared" si="8"/>
        <v/>
      </c>
      <c r="Q46" s="334" t="str">
        <f t="shared" si="8"/>
        <v/>
      </c>
    </row>
    <row r="47" spans="3:17" x14ac:dyDescent="0.3">
      <c r="C47" s="70" t="str">
        <f t="shared" ref="C47:E47" si="25">IF(C26=0, "", C26)</f>
        <v/>
      </c>
      <c r="D47" s="336" t="str">
        <f t="shared" si="25"/>
        <v/>
      </c>
      <c r="E47" s="70" t="str">
        <f t="shared" si="25"/>
        <v/>
      </c>
      <c r="F47" s="41"/>
      <c r="G47" s="334" t="str">
        <f t="shared" si="8"/>
        <v/>
      </c>
      <c r="H47" s="334" t="str">
        <f t="shared" si="8"/>
        <v/>
      </c>
      <c r="I47" s="334" t="str">
        <f t="shared" si="8"/>
        <v/>
      </c>
      <c r="J47" s="334" t="str">
        <f t="shared" si="8"/>
        <v/>
      </c>
      <c r="K47" s="334" t="str">
        <f t="shared" si="8"/>
        <v/>
      </c>
      <c r="L47" s="334" t="str">
        <f t="shared" si="8"/>
        <v/>
      </c>
      <c r="M47" s="334" t="str">
        <f t="shared" si="8"/>
        <v/>
      </c>
      <c r="N47" s="334" t="str">
        <f t="shared" si="8"/>
        <v/>
      </c>
      <c r="O47" s="334" t="str">
        <f t="shared" si="8"/>
        <v/>
      </c>
      <c r="P47" s="334" t="str">
        <f t="shared" si="8"/>
        <v/>
      </c>
      <c r="Q47" s="334" t="str">
        <f>IFERROR(Q26*Q$33/SUMPRODUCT($G$33:$Q$33,$G26:$Q26), "")</f>
        <v/>
      </c>
    </row>
    <row r="48" spans="3:17" x14ac:dyDescent="0.3">
      <c r="G48" s="2"/>
      <c r="H48" s="2"/>
      <c r="I48" s="2"/>
      <c r="J48" s="2"/>
      <c r="K48" s="2"/>
      <c r="L48" s="2"/>
      <c r="M48" s="2"/>
      <c r="N48" s="2"/>
      <c r="O48" s="2"/>
      <c r="P48" s="2"/>
      <c r="Q48" s="2"/>
    </row>
    <row r="49" spans="1:23" x14ac:dyDescent="0.3">
      <c r="G49" s="2"/>
      <c r="H49" s="2"/>
      <c r="I49" s="2"/>
      <c r="J49" s="2"/>
      <c r="K49" s="2"/>
      <c r="L49" s="2"/>
      <c r="M49" s="2"/>
      <c r="N49" s="2"/>
      <c r="O49" s="2"/>
      <c r="P49" s="2"/>
      <c r="Q49" s="2"/>
    </row>
    <row r="50" spans="1:23" x14ac:dyDescent="0.3">
      <c r="G50" s="2"/>
      <c r="H50" s="2"/>
      <c r="I50" s="2"/>
      <c r="J50" s="2"/>
      <c r="K50" s="2"/>
      <c r="L50" s="2"/>
      <c r="M50" s="2"/>
      <c r="N50" s="2"/>
      <c r="O50" s="2"/>
      <c r="P50" s="2"/>
      <c r="Q50" s="2"/>
    </row>
    <row r="51" spans="1:23" s="78" customFormat="1" x14ac:dyDescent="0.3">
      <c r="A51" s="6" t="s">
        <v>697</v>
      </c>
      <c r="B51" s="6"/>
      <c r="C51" s="6"/>
      <c r="D51" s="6"/>
      <c r="E51" s="6"/>
      <c r="F51" s="6"/>
      <c r="G51" s="20"/>
      <c r="H51" s="20"/>
      <c r="I51" s="20"/>
      <c r="J51" s="20"/>
      <c r="K51" s="20"/>
      <c r="L51" s="20"/>
      <c r="M51" s="20"/>
      <c r="N51" s="20"/>
      <c r="O51" s="20"/>
      <c r="P51" s="20"/>
      <c r="Q51" s="20"/>
    </row>
    <row r="52" spans="1:23" x14ac:dyDescent="0.3">
      <c r="A52" s="220"/>
      <c r="B52" s="220"/>
      <c r="C52" s="230"/>
      <c r="D52" s="230"/>
      <c r="E52" s="230"/>
      <c r="F52" s="230"/>
      <c r="G52" s="230"/>
      <c r="H52" s="230"/>
      <c r="I52" s="230"/>
      <c r="J52" s="230"/>
      <c r="K52" s="230"/>
      <c r="L52" s="230"/>
      <c r="M52" s="230"/>
      <c r="N52" s="230"/>
      <c r="O52" s="230"/>
      <c r="P52" s="230"/>
      <c r="Q52" s="230"/>
      <c r="R52" s="220"/>
      <c r="S52" s="220"/>
      <c r="T52" s="220"/>
      <c r="U52" s="220"/>
      <c r="V52" s="220"/>
      <c r="W52" s="220"/>
    </row>
    <row r="53" spans="1:23" x14ac:dyDescent="0.3">
      <c r="A53" s="245" t="s">
        <v>688</v>
      </c>
      <c r="B53" s="220"/>
      <c r="C53" s="220"/>
      <c r="D53" s="220"/>
      <c r="E53" s="220"/>
      <c r="F53" s="35" t="s">
        <v>692</v>
      </c>
      <c r="G53" s="36" t="s">
        <v>698</v>
      </c>
      <c r="H53" s="36" t="s">
        <v>699</v>
      </c>
      <c r="I53" s="36" t="s">
        <v>700</v>
      </c>
      <c r="J53" s="36" t="s">
        <v>701</v>
      </c>
      <c r="K53" s="220"/>
      <c r="L53" s="220"/>
      <c r="M53" s="220"/>
      <c r="N53" s="220"/>
      <c r="O53" s="220"/>
      <c r="P53" s="220"/>
      <c r="Q53" s="220"/>
      <c r="R53" s="220"/>
      <c r="S53" s="220"/>
      <c r="T53" s="220"/>
      <c r="U53" s="220"/>
      <c r="V53" s="220"/>
      <c r="W53" s="220"/>
    </row>
    <row r="54" spans="1:23" x14ac:dyDescent="0.3">
      <c r="A54" s="220"/>
      <c r="B54" s="220"/>
      <c r="C54" s="220"/>
      <c r="D54" s="220"/>
      <c r="E54" s="220"/>
      <c r="F54" s="35" t="s">
        <v>610</v>
      </c>
      <c r="G54" s="332">
        <v>4410000000</v>
      </c>
      <c r="H54" s="332">
        <v>3310000000</v>
      </c>
      <c r="I54" s="332">
        <v>1120000000</v>
      </c>
      <c r="J54" s="332">
        <v>197000000</v>
      </c>
      <c r="K54" s="220"/>
      <c r="L54" s="220"/>
      <c r="M54" s="220"/>
      <c r="N54" s="220"/>
      <c r="O54" s="220"/>
      <c r="P54" s="220"/>
      <c r="Q54" s="220"/>
      <c r="R54" s="220"/>
      <c r="S54" s="220"/>
      <c r="T54" s="220"/>
      <c r="U54" s="220"/>
      <c r="V54" s="220"/>
      <c r="W54" s="220"/>
    </row>
    <row r="55" spans="1:23" x14ac:dyDescent="0.3">
      <c r="A55" s="220"/>
      <c r="B55" s="220"/>
      <c r="C55" s="220"/>
      <c r="D55" s="220"/>
      <c r="E55" s="220"/>
      <c r="F55" s="38" t="s">
        <v>127</v>
      </c>
      <c r="G55" s="36" t="s">
        <v>98</v>
      </c>
      <c r="H55" s="36" t="s">
        <v>98</v>
      </c>
      <c r="I55" s="36" t="s">
        <v>98</v>
      </c>
      <c r="J55" s="36" t="s">
        <v>98</v>
      </c>
      <c r="K55" s="220"/>
      <c r="L55" s="220"/>
      <c r="M55" s="220"/>
      <c r="N55" s="220"/>
      <c r="O55" s="220"/>
      <c r="P55" s="220"/>
      <c r="Q55" s="220"/>
      <c r="R55" s="220"/>
      <c r="S55" s="220"/>
      <c r="T55" s="220"/>
      <c r="U55" s="220"/>
      <c r="V55" s="220"/>
      <c r="W55" s="220"/>
    </row>
    <row r="56" spans="1:23" x14ac:dyDescent="0.3">
      <c r="A56" s="220"/>
      <c r="B56" s="220"/>
      <c r="C56" s="35" t="s">
        <v>693</v>
      </c>
      <c r="D56" s="35" t="s">
        <v>610</v>
      </c>
      <c r="E56" s="35" t="s">
        <v>127</v>
      </c>
      <c r="F56" s="63"/>
      <c r="G56" s="63"/>
      <c r="H56" s="63"/>
      <c r="I56" s="63"/>
      <c r="J56" s="63"/>
      <c r="K56" s="220"/>
      <c r="L56" s="220"/>
      <c r="M56" s="220"/>
      <c r="N56" s="220"/>
      <c r="O56" s="220"/>
      <c r="P56" s="220"/>
      <c r="Q56" s="220"/>
      <c r="R56" s="220"/>
      <c r="S56" s="220"/>
      <c r="T56" s="220"/>
      <c r="U56" s="220"/>
      <c r="V56" s="220"/>
      <c r="W56" s="220"/>
    </row>
    <row r="57" spans="1:23" x14ac:dyDescent="0.3">
      <c r="A57" s="220"/>
      <c r="B57" s="220"/>
      <c r="C57" s="56" t="s">
        <v>579</v>
      </c>
      <c r="D57" s="332">
        <v>499000</v>
      </c>
      <c r="E57" s="56" t="s">
        <v>702</v>
      </c>
      <c r="F57" s="63"/>
      <c r="G57" s="45">
        <v>1</v>
      </c>
      <c r="H57" s="45">
        <v>0</v>
      </c>
      <c r="I57" s="45">
        <v>1</v>
      </c>
      <c r="J57" s="45">
        <v>0</v>
      </c>
      <c r="K57" s="220"/>
      <c r="L57" s="220"/>
      <c r="M57" s="220"/>
      <c r="N57" s="220"/>
      <c r="O57" s="220"/>
      <c r="P57" s="220"/>
      <c r="Q57" s="220"/>
      <c r="R57" s="220"/>
      <c r="S57" s="220"/>
      <c r="T57" s="220"/>
      <c r="U57" s="220"/>
      <c r="V57" s="220"/>
      <c r="W57" s="220"/>
    </row>
    <row r="58" spans="1:23" x14ac:dyDescent="0.3">
      <c r="A58" s="220"/>
      <c r="B58" s="220"/>
      <c r="C58" s="56" t="s">
        <v>133</v>
      </c>
      <c r="D58" s="332">
        <v>88100</v>
      </c>
      <c r="E58" s="56" t="s">
        <v>702</v>
      </c>
      <c r="F58" s="63"/>
      <c r="G58" s="45">
        <v>0</v>
      </c>
      <c r="H58" s="45">
        <v>1</v>
      </c>
      <c r="I58" s="45">
        <v>0</v>
      </c>
      <c r="J58" s="45">
        <v>1</v>
      </c>
      <c r="K58" s="220"/>
      <c r="L58" s="220"/>
      <c r="M58" s="220"/>
      <c r="N58" s="220"/>
      <c r="O58" s="220"/>
      <c r="P58" s="220"/>
      <c r="Q58" s="220"/>
      <c r="R58" s="220"/>
      <c r="S58" s="220"/>
      <c r="T58" s="220"/>
      <c r="U58" s="220"/>
      <c r="V58" s="220"/>
      <c r="W58" s="220"/>
    </row>
    <row r="59" spans="1:23" x14ac:dyDescent="0.3">
      <c r="A59" s="220"/>
      <c r="B59" s="220"/>
      <c r="C59" s="43" t="s">
        <v>703</v>
      </c>
      <c r="D59" s="332">
        <v>1740000000</v>
      </c>
      <c r="E59" s="43" t="s">
        <v>98</v>
      </c>
      <c r="F59" s="63"/>
      <c r="G59" s="45">
        <v>1</v>
      </c>
      <c r="H59" s="45">
        <v>1</v>
      </c>
      <c r="I59" s="45">
        <v>1</v>
      </c>
      <c r="J59" s="45">
        <v>1</v>
      </c>
      <c r="K59" s="220"/>
      <c r="L59" s="220"/>
      <c r="M59" s="220"/>
      <c r="N59" s="220"/>
      <c r="O59" s="220"/>
      <c r="P59" s="220"/>
      <c r="Q59" s="220"/>
      <c r="R59" s="220"/>
      <c r="S59" s="220"/>
      <c r="T59" s="220"/>
      <c r="U59" s="220"/>
      <c r="V59" s="220"/>
      <c r="W59" s="220"/>
    </row>
    <row r="60" spans="1:23" x14ac:dyDescent="0.3">
      <c r="A60" s="220"/>
      <c r="B60" s="220"/>
      <c r="C60" s="374" t="s">
        <v>654</v>
      </c>
      <c r="D60" s="375">
        <v>5189000000</v>
      </c>
      <c r="E60" s="376" t="s">
        <v>98</v>
      </c>
      <c r="F60" s="63"/>
      <c r="G60" s="377">
        <v>1</v>
      </c>
      <c r="H60" s="377">
        <v>1</v>
      </c>
      <c r="I60" s="377">
        <v>1</v>
      </c>
      <c r="J60" s="377">
        <v>1</v>
      </c>
      <c r="K60" s="220"/>
      <c r="L60" s="220"/>
      <c r="M60" s="220"/>
      <c r="N60" s="220"/>
      <c r="O60" s="220"/>
      <c r="P60" s="220"/>
      <c r="Q60" s="220"/>
      <c r="R60" s="220"/>
      <c r="S60" s="220"/>
      <c r="T60" s="220"/>
      <c r="U60" s="220"/>
      <c r="V60" s="220"/>
      <c r="W60" s="220"/>
    </row>
    <row r="61" spans="1:23" x14ac:dyDescent="0.3">
      <c r="A61" s="220"/>
      <c r="B61" s="220"/>
      <c r="C61" s="43" t="s">
        <v>704</v>
      </c>
      <c r="D61" s="332">
        <v>25600000</v>
      </c>
      <c r="E61" s="43" t="s">
        <v>101</v>
      </c>
      <c r="F61" s="63"/>
      <c r="G61" s="45">
        <v>1</v>
      </c>
      <c r="H61" s="45">
        <v>1</v>
      </c>
      <c r="I61" s="45">
        <v>1</v>
      </c>
      <c r="J61" s="45">
        <v>1</v>
      </c>
      <c r="K61" s="220"/>
      <c r="L61" s="220"/>
      <c r="M61" s="220"/>
      <c r="N61" s="220"/>
      <c r="O61" s="220"/>
      <c r="P61" s="220"/>
      <c r="Q61" s="220"/>
      <c r="R61" s="220"/>
      <c r="S61" s="220"/>
      <c r="T61" s="220"/>
      <c r="U61" s="220"/>
      <c r="V61" s="220"/>
      <c r="W61" s="220"/>
    </row>
    <row r="62" spans="1:23" x14ac:dyDescent="0.3">
      <c r="A62" s="220"/>
      <c r="B62" s="220"/>
      <c r="C62" s="220"/>
      <c r="D62" s="220"/>
      <c r="E62" s="220"/>
      <c r="F62" s="220"/>
      <c r="G62" s="246"/>
      <c r="H62" s="246"/>
      <c r="I62" s="246"/>
      <c r="J62" s="246"/>
      <c r="K62" s="220"/>
      <c r="L62" s="220"/>
      <c r="M62" s="220"/>
      <c r="N62" s="220"/>
      <c r="O62" s="220"/>
      <c r="P62" s="220"/>
      <c r="Q62" s="220"/>
      <c r="R62" s="220"/>
      <c r="S62" s="220"/>
      <c r="T62" s="220"/>
      <c r="U62" s="220"/>
      <c r="V62" s="220"/>
      <c r="W62" s="220"/>
    </row>
    <row r="63" spans="1:23" x14ac:dyDescent="0.3">
      <c r="A63" s="245" t="s">
        <v>695</v>
      </c>
      <c r="B63" s="220"/>
      <c r="C63" s="220"/>
      <c r="D63" s="220"/>
      <c r="E63" s="220"/>
      <c r="F63" s="35" t="s">
        <v>692</v>
      </c>
      <c r="G63" s="247" t="str">
        <f t="shared" ref="G63:J65" si="26">G53</f>
        <v xml:space="preserve">Ethanol From Barley </v>
      </c>
      <c r="H63" s="247" t="str">
        <f t="shared" si="26"/>
        <v>Ethanol From Corn</v>
      </c>
      <c r="I63" s="247" t="str">
        <f t="shared" si="26"/>
        <v xml:space="preserve">DDGS From Barley </v>
      </c>
      <c r="J63" s="247" t="str">
        <f t="shared" si="26"/>
        <v xml:space="preserve">DDGS From Corn </v>
      </c>
      <c r="K63" s="220"/>
      <c r="L63" s="220"/>
      <c r="M63" s="220"/>
      <c r="N63" s="220"/>
      <c r="O63" s="220"/>
      <c r="P63" s="220"/>
      <c r="Q63" s="220"/>
      <c r="R63" s="220"/>
      <c r="S63" s="220"/>
      <c r="T63" s="220"/>
      <c r="U63" s="220"/>
      <c r="V63" s="220"/>
      <c r="W63" s="220"/>
    </row>
    <row r="64" spans="1:23" x14ac:dyDescent="0.3">
      <c r="A64" s="220"/>
      <c r="B64" s="220"/>
      <c r="C64" s="220"/>
      <c r="D64" s="220"/>
      <c r="E64" s="220"/>
      <c r="F64" s="35" t="s">
        <v>610</v>
      </c>
      <c r="G64" s="335">
        <f t="shared" si="26"/>
        <v>4410000000</v>
      </c>
      <c r="H64" s="335">
        <f t="shared" si="26"/>
        <v>3310000000</v>
      </c>
      <c r="I64" s="335">
        <f t="shared" si="26"/>
        <v>1120000000</v>
      </c>
      <c r="J64" s="335">
        <f t="shared" si="26"/>
        <v>197000000</v>
      </c>
      <c r="K64" s="220"/>
      <c r="L64" s="220"/>
      <c r="M64" s="220"/>
      <c r="N64" s="220"/>
      <c r="O64" s="220"/>
      <c r="P64" s="220"/>
      <c r="Q64" s="220"/>
      <c r="R64" s="220"/>
      <c r="S64" s="220"/>
      <c r="T64" s="220"/>
      <c r="U64" s="220"/>
      <c r="V64" s="220"/>
      <c r="W64" s="220"/>
    </row>
    <row r="65" spans="1:23" x14ac:dyDescent="0.3">
      <c r="A65" s="220"/>
      <c r="B65" s="220"/>
      <c r="C65" s="220"/>
      <c r="D65" s="220"/>
      <c r="E65" s="220"/>
      <c r="F65" s="38" t="s">
        <v>127</v>
      </c>
      <c r="G65" s="247" t="str">
        <f t="shared" si="26"/>
        <v>MJ</v>
      </c>
      <c r="H65" s="247" t="str">
        <f t="shared" si="26"/>
        <v>MJ</v>
      </c>
      <c r="I65" s="247" t="str">
        <f t="shared" si="26"/>
        <v>MJ</v>
      </c>
      <c r="J65" s="247" t="str">
        <f t="shared" si="26"/>
        <v>MJ</v>
      </c>
      <c r="K65" s="220"/>
      <c r="L65" s="220"/>
      <c r="M65" s="220"/>
      <c r="N65" s="220"/>
      <c r="O65" s="220"/>
      <c r="P65" s="220"/>
      <c r="Q65" s="220"/>
      <c r="R65" s="220"/>
      <c r="S65" s="220"/>
      <c r="T65" s="220"/>
      <c r="U65" s="220"/>
      <c r="V65" s="220"/>
      <c r="W65" s="220"/>
    </row>
    <row r="66" spans="1:23" x14ac:dyDescent="0.3">
      <c r="A66" s="220"/>
      <c r="B66" s="220"/>
      <c r="C66" s="35" t="s">
        <v>693</v>
      </c>
      <c r="D66" s="35" t="s">
        <v>610</v>
      </c>
      <c r="E66" s="35" t="s">
        <v>127</v>
      </c>
      <c r="F66" s="63"/>
      <c r="G66" s="63"/>
      <c r="H66" s="63"/>
      <c r="I66" s="63"/>
      <c r="J66" s="63"/>
      <c r="K66" s="220"/>
      <c r="L66" s="220"/>
      <c r="M66" s="220"/>
      <c r="N66" s="220"/>
      <c r="O66" s="220"/>
      <c r="P66" s="220"/>
      <c r="Q66" s="220"/>
      <c r="R66" s="220"/>
      <c r="S66" s="220"/>
      <c r="T66" s="220"/>
      <c r="U66" s="220"/>
      <c r="V66" s="220"/>
      <c r="W66" s="220"/>
    </row>
    <row r="67" spans="1:23" x14ac:dyDescent="0.3">
      <c r="A67" s="220"/>
      <c r="B67" s="220"/>
      <c r="C67" s="248" t="str">
        <f t="shared" ref="C67:E69" si="27">C57</f>
        <v>Barley</v>
      </c>
      <c r="D67" s="335">
        <f t="shared" si="27"/>
        <v>499000</v>
      </c>
      <c r="E67" s="248" t="str">
        <f t="shared" si="27"/>
        <v>Mg</v>
      </c>
      <c r="F67" s="63"/>
      <c r="G67" s="333">
        <f t="shared" ref="G67:J69" si="28">G57*G$54/SUMPRODUCT($G$54:$J$54,$G57:$J57)</f>
        <v>0.79746835443037978</v>
      </c>
      <c r="H67" s="333">
        <f t="shared" si="28"/>
        <v>0</v>
      </c>
      <c r="I67" s="333">
        <f t="shared" si="28"/>
        <v>0.20253164556962025</v>
      </c>
      <c r="J67" s="333">
        <f t="shared" si="28"/>
        <v>0</v>
      </c>
      <c r="K67" s="220"/>
      <c r="L67" s="220"/>
      <c r="M67" s="220"/>
      <c r="N67" s="220"/>
      <c r="O67" s="220"/>
      <c r="P67" s="220"/>
      <c r="Q67" s="220"/>
      <c r="R67" s="220"/>
      <c r="S67" s="220"/>
      <c r="T67" s="220"/>
      <c r="U67" s="220"/>
      <c r="V67" s="220"/>
      <c r="W67" s="220"/>
    </row>
    <row r="68" spans="1:23" x14ac:dyDescent="0.3">
      <c r="A68" s="220"/>
      <c r="B68" s="220"/>
      <c r="C68" s="248" t="str">
        <f t="shared" si="27"/>
        <v>Corn</v>
      </c>
      <c r="D68" s="335">
        <f t="shared" si="27"/>
        <v>88100</v>
      </c>
      <c r="E68" s="248" t="str">
        <f t="shared" si="27"/>
        <v>Mg</v>
      </c>
      <c r="F68" s="63"/>
      <c r="G68" s="333">
        <f t="shared" si="28"/>
        <v>0</v>
      </c>
      <c r="H68" s="333">
        <f t="shared" si="28"/>
        <v>0.94382663244938692</v>
      </c>
      <c r="I68" s="333">
        <f t="shared" si="28"/>
        <v>0</v>
      </c>
      <c r="J68" s="333">
        <f t="shared" si="28"/>
        <v>5.6173367550613057E-2</v>
      </c>
      <c r="K68" s="220"/>
      <c r="L68" s="220"/>
      <c r="M68" s="220"/>
      <c r="N68" s="220"/>
      <c r="O68" s="220"/>
      <c r="P68" s="220"/>
      <c r="Q68" s="220"/>
      <c r="R68" s="220"/>
      <c r="S68" s="220"/>
      <c r="T68" s="220"/>
      <c r="U68" s="220"/>
      <c r="V68" s="220"/>
      <c r="W68" s="220"/>
    </row>
    <row r="69" spans="1:23" x14ac:dyDescent="0.3">
      <c r="A69" s="220"/>
      <c r="B69" s="220"/>
      <c r="C69" s="248" t="str">
        <f t="shared" si="27"/>
        <v xml:space="preserve">Natural gas combustion </v>
      </c>
      <c r="D69" s="335">
        <f t="shared" si="27"/>
        <v>1740000000</v>
      </c>
      <c r="E69" s="248" t="str">
        <f t="shared" si="27"/>
        <v>MJ</v>
      </c>
      <c r="F69" s="63"/>
      <c r="G69" s="333">
        <f t="shared" si="28"/>
        <v>0.487993803253292</v>
      </c>
      <c r="H69" s="333">
        <f t="shared" si="28"/>
        <v>0.36627199291800377</v>
      </c>
      <c r="I69" s="333">
        <f t="shared" si="28"/>
        <v>0.12393493415956623</v>
      </c>
      <c r="J69" s="333">
        <f t="shared" si="28"/>
        <v>2.1799269669137988E-2</v>
      </c>
      <c r="K69" s="220"/>
      <c r="L69" s="220"/>
      <c r="M69" s="220"/>
      <c r="N69" s="220"/>
      <c r="O69" s="220"/>
      <c r="P69" s="220"/>
      <c r="Q69" s="220"/>
      <c r="R69" s="220"/>
      <c r="S69" s="220"/>
      <c r="T69" s="220"/>
      <c r="U69" s="220"/>
      <c r="V69" s="220"/>
      <c r="W69" s="220"/>
    </row>
    <row r="70" spans="1:23" x14ac:dyDescent="0.3">
      <c r="A70" s="220"/>
      <c r="B70" s="220"/>
      <c r="C70" s="222" t="str">
        <f t="shared" ref="C70:E70" si="29">C60</f>
        <v>Chemical use per MJ of conventional ethanol</v>
      </c>
      <c r="D70" s="373">
        <f t="shared" si="29"/>
        <v>5189000000</v>
      </c>
      <c r="E70" s="231" t="str">
        <f t="shared" si="29"/>
        <v>MJ</v>
      </c>
      <c r="F70" s="63"/>
      <c r="G70" s="333">
        <f t="shared" ref="G70:J70" si="30">G60*G$54/SUMPRODUCT($G$54:$J$54,$G60:$J60)</f>
        <v>0.487993803253292</v>
      </c>
      <c r="H70" s="333">
        <f t="shared" si="30"/>
        <v>0.36627199291800377</v>
      </c>
      <c r="I70" s="333">
        <f t="shared" si="30"/>
        <v>0.12393493415956623</v>
      </c>
      <c r="J70" s="333">
        <f t="shared" si="30"/>
        <v>2.1799269669137988E-2</v>
      </c>
      <c r="K70" s="220"/>
      <c r="L70" s="220"/>
      <c r="M70" s="220"/>
      <c r="N70" s="220"/>
      <c r="O70" s="220"/>
      <c r="P70" s="220"/>
      <c r="Q70" s="220"/>
      <c r="R70" s="220"/>
      <c r="S70" s="220"/>
      <c r="T70" s="220"/>
      <c r="U70" s="220"/>
      <c r="V70" s="220"/>
      <c r="W70" s="220"/>
    </row>
    <row r="71" spans="1:23" x14ac:dyDescent="0.3">
      <c r="A71" s="220"/>
      <c r="B71" s="220"/>
      <c r="C71" s="248" t="str">
        <f t="shared" ref="C71:E71" si="31">C61</f>
        <v>Electricity, from grid [CA-ON]</v>
      </c>
      <c r="D71" s="335">
        <f t="shared" si="31"/>
        <v>25600000</v>
      </c>
      <c r="E71" s="248" t="str">
        <f t="shared" si="31"/>
        <v>kWh</v>
      </c>
      <c r="F71" s="63"/>
      <c r="G71" s="333">
        <f t="shared" ref="G71:J71" si="32">G61*G$54/SUMPRODUCT($G$54:$J$54,$G61:$J61)</f>
        <v>0.487993803253292</v>
      </c>
      <c r="H71" s="333">
        <f t="shared" si="32"/>
        <v>0.36627199291800377</v>
      </c>
      <c r="I71" s="333">
        <f t="shared" si="32"/>
        <v>0.12393493415956623</v>
      </c>
      <c r="J71" s="333">
        <f t="shared" si="32"/>
        <v>2.1799269669137988E-2</v>
      </c>
      <c r="K71" s="220"/>
      <c r="L71" s="220"/>
      <c r="M71" s="220"/>
      <c r="N71" s="220"/>
      <c r="O71" s="220"/>
      <c r="P71" s="220"/>
      <c r="Q71" s="220"/>
      <c r="R71" s="220"/>
      <c r="S71" s="220"/>
      <c r="T71" s="220"/>
      <c r="U71" s="220"/>
      <c r="V71" s="220"/>
      <c r="W71" s="220"/>
    </row>
    <row r="72" spans="1:23" x14ac:dyDescent="0.3">
      <c r="A72" s="220"/>
      <c r="B72" s="220"/>
      <c r="C72" s="220"/>
      <c r="D72" s="220"/>
      <c r="E72" s="220"/>
      <c r="F72" s="220"/>
      <c r="G72" s="220"/>
      <c r="H72" s="220"/>
      <c r="I72" s="220"/>
      <c r="J72" s="220"/>
      <c r="K72" s="220"/>
      <c r="L72" s="220"/>
      <c r="M72" s="220"/>
      <c r="N72" s="220"/>
      <c r="O72" s="220"/>
      <c r="P72" s="220"/>
      <c r="Q72" s="220"/>
      <c r="R72" s="220"/>
      <c r="S72" s="220"/>
      <c r="T72" s="220"/>
      <c r="U72" s="220"/>
      <c r="V72" s="220"/>
      <c r="W72" s="220"/>
    </row>
    <row r="73" spans="1:23" x14ac:dyDescent="0.3">
      <c r="A73" s="220"/>
      <c r="B73" s="220"/>
      <c r="C73" s="220"/>
      <c r="D73" s="220"/>
      <c r="E73" s="220"/>
      <c r="F73" s="220"/>
      <c r="G73" s="220"/>
      <c r="H73" s="220"/>
      <c r="I73" s="220"/>
      <c r="J73" s="220"/>
      <c r="K73" s="220"/>
      <c r="L73" s="220"/>
      <c r="M73" s="220"/>
      <c r="N73" s="220"/>
      <c r="O73" s="220"/>
      <c r="P73" s="220"/>
      <c r="Q73" s="220"/>
      <c r="R73" s="220"/>
      <c r="S73" s="220"/>
      <c r="T73" s="220"/>
      <c r="U73" s="220"/>
      <c r="V73" s="220"/>
      <c r="W73" s="220"/>
    </row>
    <row r="74" spans="1:23" x14ac:dyDescent="0.3">
      <c r="A74" s="220"/>
      <c r="B74" s="220"/>
      <c r="C74" s="220"/>
      <c r="D74" s="220"/>
      <c r="E74" s="220"/>
      <c r="F74" s="220"/>
      <c r="G74" s="220"/>
      <c r="H74" s="220"/>
      <c r="I74" s="220"/>
      <c r="J74" s="220"/>
      <c r="K74" s="220"/>
      <c r="L74" s="220"/>
      <c r="M74" s="220"/>
      <c r="N74" s="220"/>
      <c r="O74" s="220"/>
      <c r="P74" s="220"/>
      <c r="Q74" s="220"/>
      <c r="R74" s="220"/>
      <c r="S74" s="220"/>
      <c r="T74" s="220"/>
      <c r="U74" s="220"/>
      <c r="V74" s="220"/>
      <c r="W74" s="220"/>
    </row>
    <row r="75" spans="1:23" x14ac:dyDescent="0.3">
      <c r="A75" s="220"/>
      <c r="B75" s="220"/>
      <c r="C75" s="220"/>
      <c r="D75" s="220"/>
      <c r="E75" s="220"/>
      <c r="F75" s="220"/>
      <c r="G75" s="220"/>
      <c r="H75" s="220"/>
      <c r="I75" s="220"/>
      <c r="J75" s="220"/>
      <c r="K75" s="220"/>
      <c r="L75" s="220"/>
      <c r="M75" s="220"/>
      <c r="N75" s="220"/>
      <c r="O75" s="220"/>
      <c r="P75" s="220"/>
      <c r="Q75" s="220"/>
      <c r="R75" s="220"/>
      <c r="S75" s="220"/>
      <c r="T75" s="220"/>
      <c r="U75" s="220"/>
      <c r="V75" s="220"/>
      <c r="W75" s="220"/>
    </row>
    <row r="76" spans="1:23" x14ac:dyDescent="0.3">
      <c r="A76" s="220"/>
      <c r="B76" s="220"/>
      <c r="C76" s="220"/>
      <c r="D76" s="220"/>
      <c r="E76" s="220"/>
      <c r="F76" s="220"/>
      <c r="G76" s="220"/>
      <c r="H76" s="220"/>
      <c r="I76" s="220"/>
      <c r="J76" s="220"/>
      <c r="K76" s="220"/>
      <c r="L76" s="220"/>
      <c r="M76" s="220"/>
      <c r="N76" s="220"/>
      <c r="O76" s="220"/>
      <c r="P76" s="220"/>
      <c r="Q76" s="220"/>
      <c r="R76" s="220"/>
      <c r="S76" s="220"/>
      <c r="T76" s="220"/>
      <c r="U76" s="220"/>
      <c r="V76" s="220"/>
      <c r="W76" s="220"/>
    </row>
    <row r="77" spans="1:23" x14ac:dyDescent="0.3">
      <c r="A77" s="220"/>
      <c r="B77" s="220"/>
      <c r="C77" s="220"/>
      <c r="D77" s="220"/>
      <c r="E77" s="220"/>
      <c r="F77" s="220"/>
      <c r="G77" s="220"/>
      <c r="H77" s="220"/>
      <c r="I77" s="220"/>
      <c r="J77" s="220"/>
      <c r="K77" s="220"/>
      <c r="L77" s="220"/>
      <c r="M77" s="220"/>
      <c r="N77" s="220"/>
      <c r="O77" s="220"/>
      <c r="P77" s="220"/>
      <c r="Q77" s="220"/>
      <c r="R77" s="220"/>
      <c r="S77" s="220"/>
      <c r="T77" s="220"/>
      <c r="U77" s="220"/>
      <c r="V77" s="220"/>
      <c r="W77" s="220"/>
    </row>
    <row r="78" spans="1:23" x14ac:dyDescent="0.3">
      <c r="A78" s="220"/>
      <c r="B78" s="220"/>
      <c r="C78" s="220"/>
      <c r="D78" s="220"/>
      <c r="E78" s="220"/>
      <c r="F78" s="220"/>
      <c r="G78" s="220"/>
      <c r="H78" s="220"/>
      <c r="I78" s="220"/>
      <c r="J78" s="220"/>
      <c r="K78" s="220"/>
      <c r="L78" s="220"/>
      <c r="M78" s="220"/>
      <c r="N78" s="220"/>
      <c r="O78" s="220"/>
      <c r="P78" s="220"/>
      <c r="Q78" s="220"/>
      <c r="R78" s="220"/>
      <c r="S78" s="220"/>
      <c r="T78" s="220"/>
      <c r="U78" s="220"/>
      <c r="V78" s="220"/>
      <c r="W78" s="220"/>
    </row>
    <row r="79" spans="1:23" x14ac:dyDescent="0.3">
      <c r="A79" s="220"/>
      <c r="B79" s="220"/>
      <c r="C79" s="220"/>
      <c r="D79" s="220"/>
      <c r="E79" s="220"/>
      <c r="F79" s="220"/>
      <c r="G79" s="220"/>
      <c r="H79" s="220"/>
      <c r="I79" s="220"/>
      <c r="J79" s="220"/>
      <c r="K79" s="220"/>
      <c r="L79" s="220"/>
      <c r="M79" s="220"/>
      <c r="N79" s="220"/>
      <c r="O79" s="220"/>
      <c r="P79" s="220"/>
      <c r="Q79" s="220"/>
      <c r="R79" s="220"/>
      <c r="S79" s="220"/>
      <c r="T79" s="220"/>
      <c r="U79" s="220"/>
      <c r="V79" s="220"/>
      <c r="W79" s="220"/>
    </row>
    <row r="80" spans="1:23" x14ac:dyDescent="0.3">
      <c r="A80" s="220"/>
      <c r="B80" s="220"/>
      <c r="C80" s="220"/>
      <c r="D80" s="220"/>
      <c r="E80" s="220"/>
      <c r="F80" s="220"/>
      <c r="G80" s="220"/>
      <c r="H80" s="220"/>
      <c r="I80" s="220"/>
      <c r="J80" s="220"/>
      <c r="K80" s="220"/>
      <c r="L80" s="220"/>
      <c r="M80" s="220"/>
      <c r="N80" s="220"/>
      <c r="O80" s="220"/>
      <c r="P80" s="220"/>
      <c r="Q80" s="220"/>
      <c r="R80" s="220"/>
      <c r="S80" s="220"/>
      <c r="T80" s="220"/>
      <c r="U80" s="220"/>
      <c r="V80" s="220"/>
      <c r="W80" s="220"/>
    </row>
    <row r="81" spans="1:23" x14ac:dyDescent="0.3">
      <c r="A81" s="220"/>
      <c r="B81" s="220"/>
      <c r="C81" s="220"/>
      <c r="D81" s="220"/>
      <c r="E81" s="220"/>
      <c r="F81" s="220"/>
      <c r="G81" s="220"/>
      <c r="H81" s="220"/>
      <c r="I81" s="220"/>
      <c r="J81" s="220"/>
      <c r="K81" s="220"/>
      <c r="L81" s="220"/>
      <c r="M81" s="220"/>
      <c r="N81" s="220"/>
      <c r="O81" s="220"/>
      <c r="P81" s="220"/>
      <c r="Q81" s="220"/>
      <c r="R81" s="220"/>
      <c r="S81" s="220"/>
      <c r="T81" s="220"/>
      <c r="U81" s="220"/>
      <c r="V81" s="220"/>
      <c r="W81" s="220"/>
    </row>
  </sheetData>
  <customSheetViews>
    <customSheetView guid="{A8E9A491-4491-4848-9959-58297999E6F5}" scale="85" showGridLines="0">
      <selection activeCell="C15" sqref="C15"/>
      <pageMargins left="0" right="0" top="0" bottom="0" header="0" footer="0"/>
      <pageSetup orientation="portrait" r:id="rId1"/>
    </customSheetView>
    <customSheetView guid="{CBE97499-8DE4-4834-9D9F-4D852DB24A20}" scale="85" showGridLines="0" topLeftCell="A15">
      <selection activeCell="C15" sqref="C15"/>
      <pageMargins left="0" right="0" top="0" bottom="0" header="0" footer="0"/>
      <pageSetup orientation="portrait" r:id="rId2"/>
    </customSheetView>
    <customSheetView guid="{BAC701C4-B534-4ABA-907B-FE30A3505B8B}" scale="85" showGridLines="0" topLeftCell="A10">
      <selection activeCell="C15" sqref="C15"/>
      <pageMargins left="0" right="0" top="0" bottom="0" header="0" footer="0"/>
      <pageSetup orientation="portrait" r:id="rId3"/>
    </customSheetView>
    <customSheetView guid="{3F555A8F-379C-4D2D-833A-FF346FE5F044}" scale="85" showGridLines="0" topLeftCell="A15">
      <selection activeCell="C15" sqref="C15"/>
      <pageMargins left="0" right="0" top="0" bottom="0" header="0" footer="0"/>
      <pageSetup orientation="portrait" r:id="rId4"/>
    </customSheetView>
    <customSheetView guid="{61CEA325-629A-4670-A66B-4314E031BBF1}" scale="85" showGridLines="0">
      <selection activeCell="C15" sqref="C15"/>
      <pageMargins left="0" right="0" top="0" bottom="0" header="0" footer="0"/>
      <pageSetup orientation="portrait" r:id="rId5"/>
    </customSheetView>
  </customSheetViews>
  <pageMargins left="0.7" right="0.7" top="0.75" bottom="0.75" header="0.3" footer="0.3"/>
  <pageSetup orientation="portrait" r:id="rId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3" tint="0.59999389629810485"/>
  </sheetPr>
  <dimension ref="A1:F74"/>
  <sheetViews>
    <sheetView topLeftCell="A50" zoomScale="85" zoomScaleNormal="85" workbookViewId="0">
      <selection activeCell="D79" sqref="D79"/>
    </sheetView>
  </sheetViews>
  <sheetFormatPr defaultColWidth="11.44140625" defaultRowHeight="14.4" x14ac:dyDescent="0.3"/>
  <cols>
    <col min="1" max="1" width="6.44140625" style="5" customWidth="1"/>
    <col min="2" max="2" width="40.109375" style="5" customWidth="1"/>
    <col min="3" max="3" width="41.6640625" style="5" bestFit="1" customWidth="1"/>
    <col min="4" max="4" width="53.109375" style="21" customWidth="1"/>
    <col min="5" max="5" width="55" style="5" customWidth="1"/>
    <col min="6" max="7" width="37.6640625" style="5" customWidth="1"/>
    <col min="8" max="8" width="27.109375" style="5" customWidth="1"/>
    <col min="9" max="9" width="12.109375" style="5" customWidth="1"/>
    <col min="10" max="10" width="34.33203125" style="5" customWidth="1"/>
    <col min="11" max="11" width="14" style="5" customWidth="1"/>
    <col min="12" max="12" width="22.88671875" style="5" customWidth="1"/>
    <col min="13" max="13" width="14.5546875" style="5" customWidth="1"/>
    <col min="14" max="14" width="38.6640625" style="5" customWidth="1"/>
    <col min="15" max="16384" width="11.44140625" style="5"/>
  </cols>
  <sheetData>
    <row r="1" spans="1:6" x14ac:dyDescent="0.3">
      <c r="A1" s="347"/>
    </row>
    <row r="2" spans="1:6" x14ac:dyDescent="0.3">
      <c r="A2" s="96" t="s">
        <v>705</v>
      </c>
      <c r="D2" s="11"/>
    </row>
    <row r="3" spans="1:6" x14ac:dyDescent="0.3">
      <c r="A3" s="66" t="s">
        <v>459</v>
      </c>
      <c r="D3" s="11"/>
    </row>
    <row r="4" spans="1:6" x14ac:dyDescent="0.3">
      <c r="A4" s="66" t="s">
        <v>706</v>
      </c>
      <c r="D4" s="11"/>
    </row>
    <row r="5" spans="1:6" x14ac:dyDescent="0.3">
      <c r="A5" s="66" t="s">
        <v>461</v>
      </c>
      <c r="D5" s="11"/>
    </row>
    <row r="6" spans="1:6" x14ac:dyDescent="0.3">
      <c r="B6" s="64"/>
      <c r="D6" s="11"/>
    </row>
    <row r="7" spans="1:6" s="6" customFormat="1" x14ac:dyDescent="0.3">
      <c r="A7" s="6" t="s">
        <v>356</v>
      </c>
    </row>
    <row r="8" spans="1:6" s="32" customFormat="1" x14ac:dyDescent="0.3"/>
    <row r="9" spans="1:6" s="32" customFormat="1" x14ac:dyDescent="0.3">
      <c r="A9" s="65" t="s">
        <v>462</v>
      </c>
    </row>
    <row r="10" spans="1:6" x14ac:dyDescent="0.3">
      <c r="B10" s="80" t="s">
        <v>51</v>
      </c>
      <c r="C10" s="24" t="s">
        <v>36</v>
      </c>
      <c r="D10" s="28"/>
    </row>
    <row r="11" spans="1:6" ht="50.25" customHeight="1" x14ac:dyDescent="0.3">
      <c r="B11" s="80" t="s">
        <v>469</v>
      </c>
      <c r="C11" s="523">
        <f>'ECCC Parameters'!B65</f>
        <v>29.67</v>
      </c>
      <c r="D11" s="84" t="s">
        <v>470</v>
      </c>
      <c r="E11" s="598" t="s">
        <v>707</v>
      </c>
      <c r="F11" s="598"/>
    </row>
    <row r="12" spans="1:6" x14ac:dyDescent="0.3">
      <c r="D12" s="5"/>
    </row>
    <row r="13" spans="1:6" s="6" customFormat="1" x14ac:dyDescent="0.3">
      <c r="A13" s="6" t="s">
        <v>708</v>
      </c>
    </row>
    <row r="14" spans="1:6" x14ac:dyDescent="0.3">
      <c r="A14" s="65"/>
      <c r="D14" s="11"/>
    </row>
    <row r="15" spans="1:6" ht="48" customHeight="1" x14ac:dyDescent="0.3">
      <c r="B15" s="81" t="s">
        <v>709</v>
      </c>
      <c r="C15" s="24" t="s">
        <v>710</v>
      </c>
      <c r="D15" s="201" t="s">
        <v>711</v>
      </c>
    </row>
    <row r="16" spans="1:6" x14ac:dyDescent="0.3">
      <c r="B16" s="81" t="s">
        <v>712</v>
      </c>
      <c r="C16" s="24" t="s">
        <v>713</v>
      </c>
      <c r="D16" s="201"/>
      <c r="E16" s="200"/>
    </row>
    <row r="17" spans="2:6" ht="28.5" customHeight="1" x14ac:dyDescent="0.3">
      <c r="B17" s="80" t="s">
        <v>714</v>
      </c>
      <c r="C17" s="523">
        <f>'ECCC Parameters'!F65</f>
        <v>789.3</v>
      </c>
      <c r="D17" s="84" t="s">
        <v>302</v>
      </c>
      <c r="E17" s="657" t="s">
        <v>473</v>
      </c>
      <c r="F17" s="657"/>
    </row>
    <row r="18" spans="2:6" x14ac:dyDescent="0.3">
      <c r="D18" s="11"/>
    </row>
    <row r="19" spans="2:6" x14ac:dyDescent="0.3">
      <c r="B19" s="25" t="s">
        <v>715</v>
      </c>
      <c r="D19" s="11"/>
    </row>
    <row r="20" spans="2:6" x14ac:dyDescent="0.3">
      <c r="B20" s="66" t="s">
        <v>716</v>
      </c>
      <c r="D20" s="11"/>
    </row>
    <row r="21" spans="2:6" x14ac:dyDescent="0.3">
      <c r="B21" s="76" t="s">
        <v>380</v>
      </c>
      <c r="C21" s="137" t="s">
        <v>119</v>
      </c>
      <c r="D21" s="138" t="s">
        <v>127</v>
      </c>
      <c r="E21" s="137" t="s">
        <v>717</v>
      </c>
      <c r="F21" s="7"/>
    </row>
    <row r="22" spans="2:6" ht="28.8" x14ac:dyDescent="0.3">
      <c r="B22" s="76"/>
      <c r="C22" s="79" t="s">
        <v>718</v>
      </c>
      <c r="D22" s="138"/>
      <c r="E22" s="104" t="s">
        <v>719</v>
      </c>
      <c r="F22" s="7"/>
    </row>
    <row r="23" spans="2:6" ht="18.899999999999999" customHeight="1" x14ac:dyDescent="0.3">
      <c r="B23" s="89" t="s">
        <v>665</v>
      </c>
      <c r="C23" s="9">
        <v>0</v>
      </c>
      <c r="D23" s="84" t="s">
        <v>120</v>
      </c>
      <c r="E23" s="9"/>
      <c r="F23" s="7"/>
    </row>
    <row r="24" spans="2:6" ht="18.899999999999999" customHeight="1" x14ac:dyDescent="0.3">
      <c r="B24" s="89" t="s">
        <v>720</v>
      </c>
      <c r="C24" s="9">
        <v>186</v>
      </c>
      <c r="D24" s="84" t="s">
        <v>120</v>
      </c>
      <c r="E24" s="9">
        <v>1</v>
      </c>
      <c r="F24" s="7"/>
    </row>
    <row r="25" spans="2:6" ht="18.899999999999999" customHeight="1" x14ac:dyDescent="0.3">
      <c r="B25" s="89" t="s">
        <v>667</v>
      </c>
      <c r="C25" s="9">
        <v>0</v>
      </c>
      <c r="D25" s="84" t="s">
        <v>120</v>
      </c>
      <c r="E25" s="9"/>
      <c r="F25" s="7"/>
    </row>
    <row r="26" spans="2:6" ht="18.899999999999999" customHeight="1" x14ac:dyDescent="0.3">
      <c r="B26" s="89" t="s">
        <v>721</v>
      </c>
      <c r="C26" s="9">
        <v>0</v>
      </c>
      <c r="D26" s="84" t="s">
        <v>120</v>
      </c>
      <c r="E26" s="9"/>
      <c r="F26" s="7"/>
    </row>
    <row r="27" spans="2:6" ht="18.899999999999999" customHeight="1" x14ac:dyDescent="0.3">
      <c r="B27" s="92" t="s">
        <v>668</v>
      </c>
      <c r="C27" s="9">
        <v>0</v>
      </c>
      <c r="D27" s="84" t="s">
        <v>120</v>
      </c>
      <c r="E27" s="9"/>
      <c r="F27" s="7"/>
    </row>
    <row r="28" spans="2:6" ht="18.899999999999999" customHeight="1" x14ac:dyDescent="0.3">
      <c r="B28" s="92" t="s">
        <v>722</v>
      </c>
      <c r="C28" s="9">
        <v>0</v>
      </c>
      <c r="D28" s="84" t="s">
        <v>120</v>
      </c>
      <c r="E28" s="9"/>
      <c r="F28" s="7"/>
    </row>
    <row r="29" spans="2:6" ht="18.899999999999999" customHeight="1" x14ac:dyDescent="0.3">
      <c r="B29" s="89" t="s">
        <v>669</v>
      </c>
      <c r="C29" s="9">
        <v>0</v>
      </c>
      <c r="D29" s="84" t="s">
        <v>120</v>
      </c>
      <c r="E29" s="9"/>
      <c r="F29" s="7"/>
    </row>
    <row r="30" spans="2:6" ht="18.899999999999999" customHeight="1" x14ac:dyDescent="0.3">
      <c r="B30" s="89" t="s">
        <v>670</v>
      </c>
      <c r="C30" s="9">
        <v>0</v>
      </c>
      <c r="D30" s="84" t="s">
        <v>120</v>
      </c>
      <c r="E30" s="9"/>
      <c r="F30" s="7"/>
    </row>
    <row r="31" spans="2:6" x14ac:dyDescent="0.3">
      <c r="D31" s="23"/>
      <c r="E31" s="11"/>
      <c r="F31" s="7"/>
    </row>
    <row r="32" spans="2:6" ht="28.8" x14ac:dyDescent="0.3">
      <c r="C32" s="137" t="s">
        <v>723</v>
      </c>
      <c r="D32" s="138" t="s">
        <v>127</v>
      </c>
      <c r="E32" s="21"/>
    </row>
    <row r="33" spans="1:6" x14ac:dyDescent="0.3">
      <c r="B33" s="89" t="s">
        <v>665</v>
      </c>
      <c r="C33" s="93">
        <f>IF(C$15="Recommended option - Applicant data",IFERROR(C23/C$11*E23, ""),"")</f>
        <v>0</v>
      </c>
      <c r="D33" s="84" t="s">
        <v>402</v>
      </c>
      <c r="E33" s="598" t="s">
        <v>724</v>
      </c>
      <c r="F33" s="598"/>
    </row>
    <row r="34" spans="1:6" x14ac:dyDescent="0.3">
      <c r="B34" s="89" t="s">
        <v>720</v>
      </c>
      <c r="C34" s="532">
        <f t="shared" ref="C34:C40" si="0">IF(C$15="Recommended option - Applicant data",IFERROR(C24/C$11*E24, ""),"")</f>
        <v>6.268958543983822</v>
      </c>
      <c r="D34" s="84" t="s">
        <v>402</v>
      </c>
      <c r="E34" s="598"/>
      <c r="F34" s="598"/>
    </row>
    <row r="35" spans="1:6" x14ac:dyDescent="0.3">
      <c r="B35" s="89" t="s">
        <v>667</v>
      </c>
      <c r="C35" s="93">
        <f t="shared" si="0"/>
        <v>0</v>
      </c>
      <c r="D35" s="84" t="s">
        <v>402</v>
      </c>
      <c r="E35" s="598"/>
      <c r="F35" s="598"/>
    </row>
    <row r="36" spans="1:6" x14ac:dyDescent="0.3">
      <c r="B36" s="89" t="s">
        <v>721</v>
      </c>
      <c r="C36" s="93">
        <f t="shared" si="0"/>
        <v>0</v>
      </c>
      <c r="D36" s="84" t="s">
        <v>402</v>
      </c>
      <c r="E36" s="598"/>
      <c r="F36" s="598"/>
    </row>
    <row r="37" spans="1:6" x14ac:dyDescent="0.3">
      <c r="B37" s="92" t="s">
        <v>668</v>
      </c>
      <c r="C37" s="93">
        <f t="shared" si="0"/>
        <v>0</v>
      </c>
      <c r="D37" s="84" t="s">
        <v>402</v>
      </c>
      <c r="E37" s="598"/>
      <c r="F37" s="598"/>
    </row>
    <row r="38" spans="1:6" x14ac:dyDescent="0.3">
      <c r="B38" s="92" t="s">
        <v>722</v>
      </c>
      <c r="C38" s="93">
        <f t="shared" si="0"/>
        <v>0</v>
      </c>
      <c r="D38" s="84" t="s">
        <v>402</v>
      </c>
      <c r="E38" s="598"/>
      <c r="F38" s="598"/>
    </row>
    <row r="39" spans="1:6" x14ac:dyDescent="0.3">
      <c r="B39" s="89" t="s">
        <v>669</v>
      </c>
      <c r="C39" s="93">
        <f t="shared" si="0"/>
        <v>0</v>
      </c>
      <c r="D39" s="84" t="s">
        <v>402</v>
      </c>
      <c r="E39" s="598"/>
      <c r="F39" s="598"/>
    </row>
    <row r="40" spans="1:6" x14ac:dyDescent="0.3">
      <c r="B40" s="89" t="s">
        <v>670</v>
      </c>
      <c r="C40" s="93">
        <f t="shared" si="0"/>
        <v>0</v>
      </c>
      <c r="D40" s="84" t="s">
        <v>402</v>
      </c>
      <c r="E40" s="598"/>
      <c r="F40" s="598"/>
    </row>
    <row r="41" spans="1:6" x14ac:dyDescent="0.3">
      <c r="B41" s="141"/>
      <c r="C41" s="142"/>
      <c r="D41" s="143"/>
      <c r="E41" s="144"/>
      <c r="F41" s="144"/>
    </row>
    <row r="42" spans="1:6" x14ac:dyDescent="0.3">
      <c r="B42" s="212" t="s">
        <v>725</v>
      </c>
      <c r="D42" s="23"/>
    </row>
    <row r="43" spans="1:6" ht="27.6" customHeight="1" x14ac:dyDescent="0.3">
      <c r="B43" s="151" t="s">
        <v>726</v>
      </c>
      <c r="C43" s="331" t="s">
        <v>727</v>
      </c>
      <c r="D43" s="5"/>
    </row>
    <row r="44" spans="1:6" ht="45" customHeight="1" x14ac:dyDescent="0.3">
      <c r="B44" s="151" t="s">
        <v>728</v>
      </c>
      <c r="C44" s="330" t="str">
        <f>IF(C15="Alternate option - Predefined distribution scenario",IFERROR(1, ""),"")</f>
        <v/>
      </c>
      <c r="D44" s="152" t="s">
        <v>98</v>
      </c>
      <c r="E44" s="598" t="s">
        <v>729</v>
      </c>
      <c r="F44" s="598"/>
    </row>
    <row r="45" spans="1:6" x14ac:dyDescent="0.3">
      <c r="B45" s="7"/>
      <c r="C45" s="7"/>
      <c r="D45" s="11"/>
    </row>
    <row r="46" spans="1:6" s="6" customFormat="1" x14ac:dyDescent="0.3">
      <c r="A46" s="6" t="s">
        <v>730</v>
      </c>
    </row>
    <row r="47" spans="1:6" x14ac:dyDescent="0.3">
      <c r="B47" s="66" t="s">
        <v>731</v>
      </c>
      <c r="D47" s="11"/>
    </row>
    <row r="48" spans="1:6" x14ac:dyDescent="0.3">
      <c r="B48" s="66" t="s">
        <v>716</v>
      </c>
      <c r="D48" s="11"/>
    </row>
    <row r="49" spans="2:6" x14ac:dyDescent="0.3">
      <c r="B49" s="66"/>
      <c r="D49" s="11"/>
    </row>
    <row r="50" spans="2:6" x14ac:dyDescent="0.3">
      <c r="B50" s="81" t="s">
        <v>732</v>
      </c>
      <c r="C50" s="24"/>
      <c r="D50" s="201"/>
      <c r="E50" s="200"/>
    </row>
    <row r="51" spans="2:6" ht="28.5" customHeight="1" x14ac:dyDescent="0.3">
      <c r="B51" s="80" t="s">
        <v>733</v>
      </c>
      <c r="C51" s="496"/>
      <c r="D51" s="84" t="s">
        <v>302</v>
      </c>
      <c r="E51" s="657" t="s">
        <v>473</v>
      </c>
      <c r="F51" s="657"/>
    </row>
    <row r="53" spans="2:6" x14ac:dyDescent="0.3">
      <c r="B53" s="76" t="s">
        <v>380</v>
      </c>
      <c r="C53" s="137" t="s">
        <v>119</v>
      </c>
      <c r="D53" s="138" t="s">
        <v>127</v>
      </c>
      <c r="E53" s="137" t="s">
        <v>717</v>
      </c>
      <c r="F53" s="7"/>
    </row>
    <row r="54" spans="2:6" ht="28.8" x14ac:dyDescent="0.3">
      <c r="B54" s="76"/>
      <c r="C54" s="79" t="s">
        <v>718</v>
      </c>
      <c r="D54" s="138"/>
      <c r="E54" s="104" t="s">
        <v>719</v>
      </c>
      <c r="F54" s="7"/>
    </row>
    <row r="55" spans="2:6" ht="18.899999999999999" customHeight="1" x14ac:dyDescent="0.3">
      <c r="B55" s="89" t="s">
        <v>665</v>
      </c>
      <c r="C55" s="9"/>
      <c r="D55" s="84" t="s">
        <v>120</v>
      </c>
      <c r="E55" s="9"/>
      <c r="F55" s="104"/>
    </row>
    <row r="56" spans="2:6" ht="18.899999999999999" customHeight="1" x14ac:dyDescent="0.3">
      <c r="B56" s="89" t="s">
        <v>720</v>
      </c>
      <c r="C56" s="9"/>
      <c r="D56" s="84" t="s">
        <v>120</v>
      </c>
      <c r="E56" s="9"/>
      <c r="F56" s="104"/>
    </row>
    <row r="57" spans="2:6" ht="18.899999999999999" customHeight="1" x14ac:dyDescent="0.3">
      <c r="B57" s="89" t="s">
        <v>667</v>
      </c>
      <c r="C57" s="9"/>
      <c r="D57" s="84" t="s">
        <v>120</v>
      </c>
      <c r="E57" s="9"/>
      <c r="F57" s="104"/>
    </row>
    <row r="58" spans="2:6" ht="18.899999999999999" customHeight="1" x14ac:dyDescent="0.3">
      <c r="B58" s="89" t="s">
        <v>721</v>
      </c>
      <c r="C58" s="9"/>
      <c r="D58" s="84" t="s">
        <v>120</v>
      </c>
      <c r="E58" s="9"/>
      <c r="F58" s="104"/>
    </row>
    <row r="59" spans="2:6" ht="18.899999999999999" customHeight="1" x14ac:dyDescent="0.3">
      <c r="B59" s="92" t="s">
        <v>668</v>
      </c>
      <c r="C59" s="9"/>
      <c r="D59" s="84" t="s">
        <v>120</v>
      </c>
      <c r="E59" s="9"/>
      <c r="F59" s="104"/>
    </row>
    <row r="60" spans="2:6" ht="18.899999999999999" customHeight="1" x14ac:dyDescent="0.3">
      <c r="B60" s="92" t="s">
        <v>722</v>
      </c>
      <c r="C60" s="9"/>
      <c r="D60" s="84" t="s">
        <v>120</v>
      </c>
      <c r="E60" s="9"/>
      <c r="F60" s="104"/>
    </row>
    <row r="61" spans="2:6" ht="18.899999999999999" customHeight="1" x14ac:dyDescent="0.3">
      <c r="B61" s="89" t="s">
        <v>669</v>
      </c>
      <c r="C61" s="9"/>
      <c r="D61" s="84" t="s">
        <v>120</v>
      </c>
      <c r="E61" s="9"/>
      <c r="F61" s="104"/>
    </row>
    <row r="62" spans="2:6" ht="18.899999999999999" customHeight="1" x14ac:dyDescent="0.3">
      <c r="B62" s="89" t="s">
        <v>670</v>
      </c>
      <c r="C62" s="9"/>
      <c r="D62" s="84" t="s">
        <v>120</v>
      </c>
      <c r="E62" s="9"/>
      <c r="F62" s="104"/>
    </row>
    <row r="63" spans="2:6" x14ac:dyDescent="0.3">
      <c r="D63" s="23"/>
    </row>
    <row r="64" spans="2:6" ht="28.8" x14ac:dyDescent="0.3">
      <c r="C64" s="137" t="s">
        <v>723</v>
      </c>
      <c r="D64" s="138" t="s">
        <v>127</v>
      </c>
      <c r="E64" s="21"/>
    </row>
    <row r="65" spans="2:6" x14ac:dyDescent="0.3">
      <c r="B65" s="89" t="s">
        <v>665</v>
      </c>
      <c r="C65" s="93">
        <f t="shared" ref="C65:C72" si="1">IF(C$15="Recommended option - Applicant data",IFERROR(C55/C$11*E55, ""),"")</f>
        <v>0</v>
      </c>
      <c r="D65" s="84" t="s">
        <v>402</v>
      </c>
      <c r="E65" s="598" t="s">
        <v>734</v>
      </c>
      <c r="F65" s="598"/>
    </row>
    <row r="66" spans="2:6" x14ac:dyDescent="0.3">
      <c r="B66" s="89" t="s">
        <v>720</v>
      </c>
      <c r="C66" s="93">
        <f t="shared" si="1"/>
        <v>0</v>
      </c>
      <c r="D66" s="84" t="s">
        <v>402</v>
      </c>
      <c r="E66" s="598"/>
      <c r="F66" s="598"/>
    </row>
    <row r="67" spans="2:6" x14ac:dyDescent="0.3">
      <c r="B67" s="89" t="s">
        <v>667</v>
      </c>
      <c r="C67" s="93">
        <f t="shared" si="1"/>
        <v>0</v>
      </c>
      <c r="D67" s="84" t="s">
        <v>402</v>
      </c>
      <c r="E67" s="598"/>
      <c r="F67" s="598"/>
    </row>
    <row r="68" spans="2:6" x14ac:dyDescent="0.3">
      <c r="B68" s="89" t="s">
        <v>721</v>
      </c>
      <c r="C68" s="93">
        <f t="shared" si="1"/>
        <v>0</v>
      </c>
      <c r="D68" s="84" t="s">
        <v>402</v>
      </c>
      <c r="E68" s="598"/>
      <c r="F68" s="598"/>
    </row>
    <row r="69" spans="2:6" x14ac:dyDescent="0.3">
      <c r="B69" s="92" t="s">
        <v>668</v>
      </c>
      <c r="C69" s="93">
        <f t="shared" si="1"/>
        <v>0</v>
      </c>
      <c r="D69" s="84" t="s">
        <v>402</v>
      </c>
      <c r="E69" s="598"/>
      <c r="F69" s="598"/>
    </row>
    <row r="70" spans="2:6" x14ac:dyDescent="0.3">
      <c r="B70" s="92" t="s">
        <v>722</v>
      </c>
      <c r="C70" s="93">
        <f t="shared" si="1"/>
        <v>0</v>
      </c>
      <c r="D70" s="84" t="s">
        <v>402</v>
      </c>
      <c r="E70" s="598"/>
      <c r="F70" s="598"/>
    </row>
    <row r="71" spans="2:6" x14ac:dyDescent="0.3">
      <c r="B71" s="89" t="s">
        <v>669</v>
      </c>
      <c r="C71" s="93">
        <f t="shared" si="1"/>
        <v>0</v>
      </c>
      <c r="D71" s="84" t="s">
        <v>402</v>
      </c>
      <c r="E71" s="598"/>
      <c r="F71" s="598"/>
    </row>
    <row r="72" spans="2:6" x14ac:dyDescent="0.3">
      <c r="B72" s="89" t="s">
        <v>670</v>
      </c>
      <c r="C72" s="93">
        <f t="shared" si="1"/>
        <v>0</v>
      </c>
      <c r="D72" s="84" t="s">
        <v>402</v>
      </c>
      <c r="E72" s="598"/>
      <c r="F72" s="598"/>
    </row>
    <row r="73" spans="2:6" x14ac:dyDescent="0.3">
      <c r="B73" s="141"/>
      <c r="C73" s="142"/>
      <c r="D73" s="143"/>
      <c r="E73" s="144"/>
      <c r="F73" s="144"/>
    </row>
    <row r="74" spans="2:6" x14ac:dyDescent="0.3">
      <c r="D74" s="5"/>
    </row>
  </sheetData>
  <customSheetViews>
    <customSheetView guid="{A8E9A491-4491-4848-9959-58297999E6F5}">
      <selection activeCell="C17" sqref="C17"/>
      <pageMargins left="0" right="0" top="0" bottom="0" header="0" footer="0"/>
      <pageSetup orientation="portrait" r:id="rId1"/>
    </customSheetView>
    <customSheetView guid="{CBE97499-8DE4-4834-9D9F-4D852DB24A20}" scale="70" topLeftCell="A41">
      <selection activeCell="C40" sqref="C40"/>
      <pageMargins left="0" right="0" top="0" bottom="0" header="0" footer="0"/>
      <pageSetup orientation="portrait" r:id="rId2"/>
    </customSheetView>
    <customSheetView guid="{BAC701C4-B534-4ABA-907B-FE30A3505B8B}">
      <selection activeCell="E40" sqref="E40:F40"/>
      <pageMargins left="0" right="0" top="0" bottom="0" header="0" footer="0"/>
      <pageSetup orientation="portrait" r:id="rId3"/>
    </customSheetView>
    <customSheetView guid="{3F555A8F-379C-4D2D-833A-FF346FE5F044}" scale="70" topLeftCell="A41">
      <selection activeCell="C40" sqref="C40"/>
      <pageMargins left="0" right="0" top="0" bottom="0" header="0" footer="0"/>
      <pageSetup orientation="portrait" r:id="rId4"/>
    </customSheetView>
    <customSheetView guid="{61CEA325-629A-4670-A66B-4314E031BBF1}">
      <selection activeCell="C17" sqref="C17"/>
      <pageMargins left="0" right="0" top="0" bottom="0" header="0" footer="0"/>
      <pageSetup orientation="portrait" r:id="rId5"/>
    </customSheetView>
  </customSheetViews>
  <mergeCells count="6">
    <mergeCell ref="E65:F72"/>
    <mergeCell ref="E11:F11"/>
    <mergeCell ref="E17:F17"/>
    <mergeCell ref="E33:F40"/>
    <mergeCell ref="E44:F44"/>
    <mergeCell ref="E51:F51"/>
  </mergeCell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F00-000000000000}">
          <x14:formula1>
            <xm:f>Lists!$C$5:$C$7</xm:f>
          </x14:formula1>
          <xm:sqref>C15</xm:sqref>
        </x14:dataValidation>
        <x14:dataValidation type="list" allowBlank="1" showInputMessage="1" showErrorMessage="1" xr:uid="{00000000-0002-0000-0F00-000001000000}">
          <x14:formula1>
            <xm:f>Lists!$AH$5:$AH$8</xm:f>
          </x14:formula1>
          <xm:sqref>C50</xm:sqref>
        </x14:dataValidation>
        <x14:dataValidation type="list" allowBlank="1" showInputMessage="1" showErrorMessage="1" xr:uid="{00000000-0002-0000-0F00-000002000000}">
          <x14:formula1>
            <xm:f>Lists!$AI$5:$AI$7</xm:f>
          </x14:formula1>
          <xm:sqref>C43</xm:sqref>
        </x14:dataValidation>
        <x14:dataValidation type="list" allowBlank="1" showInputMessage="1" showErrorMessage="1" xr:uid="{00000000-0002-0000-0F00-000004000000}">
          <x14:formula1>
            <xm:f>Lists!$L$5:$L$19</xm:f>
          </x14:formula1>
          <xm:sqref>C10</xm:sqref>
        </x14:dataValidation>
        <x14:dataValidation type="list" showInputMessage="1" showErrorMessage="1" xr:uid="{00000000-0002-0000-0F00-000005000000}">
          <x14:formula1>
            <xm:f>Lists!$AH$5:$AH$8</xm:f>
          </x14:formula1>
          <xm:sqref>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5A5E9-E52A-4FFA-B3CA-42FA2BC41E84}">
  <dimension ref="A1:D56"/>
  <sheetViews>
    <sheetView tabSelected="1" zoomScale="85" zoomScaleNormal="85" workbookViewId="0">
      <selection activeCell="D17" sqref="D17"/>
    </sheetView>
  </sheetViews>
  <sheetFormatPr defaultColWidth="8.6640625" defaultRowHeight="14.4" x14ac:dyDescent="0.3"/>
  <cols>
    <col min="1" max="1" width="72.88671875" bestFit="1" customWidth="1"/>
    <col min="2" max="2" width="65.88671875" bestFit="1" customWidth="1"/>
    <col min="3" max="4" width="74" bestFit="1" customWidth="1"/>
  </cols>
  <sheetData>
    <row r="1" spans="1:4" x14ac:dyDescent="0.3">
      <c r="A1" s="347"/>
    </row>
    <row r="2" spans="1:4" x14ac:dyDescent="0.3">
      <c r="A2" s="96" t="s">
        <v>735</v>
      </c>
    </row>
    <row r="3" spans="1:4" x14ac:dyDescent="0.3">
      <c r="A3" s="96" t="s">
        <v>736</v>
      </c>
    </row>
    <row r="5" spans="1:4" x14ac:dyDescent="0.3">
      <c r="B5" s="47" t="s">
        <v>737</v>
      </c>
      <c r="C5" s="36" t="s">
        <v>738</v>
      </c>
      <c r="D5" s="132" t="s">
        <v>739</v>
      </c>
    </row>
    <row r="6" spans="1:4" x14ac:dyDescent="0.3">
      <c r="C6" s="524"/>
      <c r="D6" s="96"/>
    </row>
    <row r="7" spans="1:4" x14ac:dyDescent="0.3">
      <c r="A7" s="535" t="s">
        <v>740</v>
      </c>
      <c r="B7" s="536" t="s">
        <v>741</v>
      </c>
      <c r="C7" s="537" t="s">
        <v>742</v>
      </c>
      <c r="D7" s="96"/>
    </row>
    <row r="8" spans="1:4" x14ac:dyDescent="0.3">
      <c r="A8" s="538" t="s">
        <v>418</v>
      </c>
      <c r="B8" s="539">
        <v>20570.088</v>
      </c>
      <c r="C8" s="583">
        <v>0.14000000000000001</v>
      </c>
      <c r="D8" s="96"/>
    </row>
    <row r="9" spans="1:4" x14ac:dyDescent="0.3">
      <c r="A9" s="540" t="s">
        <v>419</v>
      </c>
      <c r="B9" s="541">
        <v>21780.093000000001</v>
      </c>
      <c r="C9" s="584">
        <v>0.13</v>
      </c>
      <c r="D9" s="96"/>
    </row>
    <row r="10" spans="1:4" x14ac:dyDescent="0.3">
      <c r="A10" s="538" t="s">
        <v>420</v>
      </c>
      <c r="B10" s="539">
        <v>23474.100999999999</v>
      </c>
      <c r="C10" s="583">
        <v>0.15</v>
      </c>
      <c r="D10" s="96"/>
    </row>
    <row r="11" spans="1:4" x14ac:dyDescent="0.3">
      <c r="A11" s="540" t="s">
        <v>421</v>
      </c>
      <c r="B11" s="541">
        <v>23958.102999999999</v>
      </c>
      <c r="C11" s="584">
        <v>0.12</v>
      </c>
      <c r="D11" s="96"/>
    </row>
    <row r="12" spans="1:4" x14ac:dyDescent="0.3">
      <c r="A12" s="538" t="s">
        <v>422</v>
      </c>
      <c r="B12" s="539">
        <v>21054.09</v>
      </c>
      <c r="C12" s="583">
        <v>0.16</v>
      </c>
      <c r="D12" s="96"/>
    </row>
    <row r="13" spans="1:4" x14ac:dyDescent="0.3">
      <c r="A13" s="540" t="s">
        <v>423</v>
      </c>
      <c r="B13" s="541">
        <v>20812.089</v>
      </c>
      <c r="C13" s="584">
        <v>0.14000000000000001</v>
      </c>
      <c r="D13" s="96"/>
    </row>
    <row r="14" spans="1:4" x14ac:dyDescent="0.3">
      <c r="A14" s="538" t="s">
        <v>424</v>
      </c>
      <c r="B14" s="539">
        <v>22506.096000000001</v>
      </c>
      <c r="C14" s="583">
        <v>0.13</v>
      </c>
      <c r="D14" s="96"/>
    </row>
    <row r="15" spans="1:4" x14ac:dyDescent="0.3">
      <c r="A15" s="540" t="s">
        <v>425</v>
      </c>
      <c r="B15" s="541">
        <v>22990.098999999998</v>
      </c>
      <c r="C15" s="584">
        <v>0.15</v>
      </c>
      <c r="D15" s="96"/>
    </row>
    <row r="16" spans="1:4" x14ac:dyDescent="0.3">
      <c r="A16" s="538" t="s">
        <v>426</v>
      </c>
      <c r="B16" s="539">
        <v>22022.094000000001</v>
      </c>
      <c r="C16" s="583">
        <v>0.14000000000000001</v>
      </c>
      <c r="D16" s="96"/>
    </row>
    <row r="17" spans="1:4" x14ac:dyDescent="0.3">
      <c r="A17" s="540" t="s">
        <v>427</v>
      </c>
      <c r="B17" s="541">
        <v>21538.092000000001</v>
      </c>
      <c r="C17" s="584">
        <v>0.15</v>
      </c>
      <c r="D17" s="96"/>
    </row>
    <row r="18" spans="1:4" x14ac:dyDescent="0.3">
      <c r="A18" s="538" t="s">
        <v>428</v>
      </c>
      <c r="B18" s="539">
        <v>23716.101999999999</v>
      </c>
      <c r="C18" s="583">
        <v>0.16</v>
      </c>
      <c r="D18" s="96"/>
    </row>
    <row r="19" spans="1:4" x14ac:dyDescent="0.3">
      <c r="A19" s="540" t="s">
        <v>429</v>
      </c>
      <c r="B19" s="541">
        <v>22264.095000000001</v>
      </c>
      <c r="C19" s="584">
        <v>0.13</v>
      </c>
      <c r="D19" s="96"/>
    </row>
    <row r="20" spans="1:4" x14ac:dyDescent="0.3">
      <c r="A20" s="538" t="s">
        <v>430</v>
      </c>
      <c r="B20" s="539">
        <v>27830.118999999999</v>
      </c>
      <c r="C20" s="583">
        <v>0.15</v>
      </c>
      <c r="D20" s="96"/>
    </row>
    <row r="21" spans="1:4" x14ac:dyDescent="0.3">
      <c r="A21" s="540" t="s">
        <v>431</v>
      </c>
      <c r="B21" s="541">
        <v>26620.114000000001</v>
      </c>
      <c r="C21" s="584">
        <v>0.14000000000000001</v>
      </c>
      <c r="D21" s="96"/>
    </row>
    <row r="22" spans="1:4" x14ac:dyDescent="0.3">
      <c r="A22" s="538" t="s">
        <v>432</v>
      </c>
      <c r="B22" s="539">
        <v>24926.107</v>
      </c>
      <c r="C22" s="583">
        <v>0.16</v>
      </c>
      <c r="D22" s="96"/>
    </row>
    <row r="23" spans="1:4" x14ac:dyDescent="0.3">
      <c r="A23" s="540" t="s">
        <v>433</v>
      </c>
      <c r="B23" s="541">
        <v>24442.105</v>
      </c>
      <c r="C23" s="584">
        <v>0.16</v>
      </c>
      <c r="D23" s="96"/>
    </row>
    <row r="24" spans="1:4" x14ac:dyDescent="0.3">
      <c r="A24" s="538" t="s">
        <v>434</v>
      </c>
      <c r="B24" s="539">
        <v>27346.116999999998</v>
      </c>
      <c r="C24" s="583">
        <v>0.15</v>
      </c>
      <c r="D24" s="96"/>
    </row>
    <row r="25" spans="1:4" x14ac:dyDescent="0.3">
      <c r="A25" s="540" t="s">
        <v>435</v>
      </c>
      <c r="B25" s="541">
        <v>27588.117999999999</v>
      </c>
      <c r="C25" s="584">
        <v>0.14000000000000001</v>
      </c>
      <c r="D25" s="96"/>
    </row>
    <row r="26" spans="1:4" x14ac:dyDescent="0.3">
      <c r="A26" s="538" t="s">
        <v>436</v>
      </c>
      <c r="B26" s="539">
        <v>25894.111000000001</v>
      </c>
      <c r="C26" s="583">
        <v>0.13</v>
      </c>
      <c r="D26" s="96"/>
    </row>
    <row r="27" spans="1:4" x14ac:dyDescent="0.3">
      <c r="A27" s="540" t="s">
        <v>437</v>
      </c>
      <c r="B27" s="541">
        <v>25410.109</v>
      </c>
      <c r="C27" s="584">
        <v>0.16</v>
      </c>
      <c r="D27" s="96"/>
    </row>
    <row r="28" spans="1:4" x14ac:dyDescent="0.3">
      <c r="A28" s="538" t="s">
        <v>438</v>
      </c>
      <c r="B28" s="539">
        <v>26378.113000000001</v>
      </c>
      <c r="C28" s="583">
        <v>0.15</v>
      </c>
      <c r="D28" s="96"/>
    </row>
    <row r="29" spans="1:4" x14ac:dyDescent="0.3">
      <c r="A29" s="540" t="s">
        <v>439</v>
      </c>
      <c r="B29" s="541">
        <v>26862.115000000002</v>
      </c>
      <c r="C29" s="584">
        <v>0.15</v>
      </c>
      <c r="D29" s="96"/>
    </row>
    <row r="30" spans="1:4" x14ac:dyDescent="0.3">
      <c r="A30" s="538" t="s">
        <v>440</v>
      </c>
      <c r="B30" s="539">
        <v>24684.106</v>
      </c>
      <c r="C30" s="583">
        <v>0.14000000000000001</v>
      </c>
      <c r="D30" s="96"/>
    </row>
    <row r="31" spans="1:4" x14ac:dyDescent="0.3">
      <c r="A31" s="540" t="s">
        <v>441</v>
      </c>
      <c r="B31" s="541">
        <v>26136.112000000001</v>
      </c>
      <c r="C31" s="584">
        <v>0.13</v>
      </c>
      <c r="D31" s="96"/>
    </row>
    <row r="32" spans="1:4" x14ac:dyDescent="0.3">
      <c r="A32" s="542" t="s">
        <v>606</v>
      </c>
      <c r="B32" s="543">
        <f>SUM(B8:B31)</f>
        <v>580802.48800000001</v>
      </c>
      <c r="C32" s="585">
        <f>SUMPRODUCT(B8:B31,C8:C31)/SUM(B8:B31)</f>
        <v>0.14428750003908386</v>
      </c>
      <c r="D32" s="96"/>
    </row>
    <row r="33" spans="1:4" x14ac:dyDescent="0.3">
      <c r="B33" s="498"/>
      <c r="C33" s="498"/>
      <c r="D33" s="96"/>
    </row>
    <row r="35" spans="1:4" x14ac:dyDescent="0.3">
      <c r="A35" s="544" t="s">
        <v>743</v>
      </c>
      <c r="B35" s="544" t="s">
        <v>744</v>
      </c>
      <c r="C35" s="544" t="s">
        <v>745</v>
      </c>
      <c r="D35" s="547" t="s">
        <v>746</v>
      </c>
    </row>
    <row r="36" spans="1:4" x14ac:dyDescent="0.3">
      <c r="A36" s="548" t="s">
        <v>747</v>
      </c>
      <c r="B36" s="549">
        <v>200803.30499999999</v>
      </c>
      <c r="C36" s="549">
        <f>B36*(1-C$32)</f>
        <v>171829.89812196433</v>
      </c>
      <c r="D36" s="550">
        <v>235</v>
      </c>
    </row>
    <row r="37" spans="1:4" x14ac:dyDescent="0.3">
      <c r="A37" s="551" t="s">
        <v>748</v>
      </c>
      <c r="B37" s="552">
        <v>152992.848</v>
      </c>
      <c r="C37" s="552">
        <f t="shared" ref="C37:C43" si="0">B37*(1-C$32)</f>
        <v>130917.89243822044</v>
      </c>
      <c r="D37" s="553">
        <v>250</v>
      </c>
    </row>
    <row r="38" spans="1:4" x14ac:dyDescent="0.3">
      <c r="A38" s="548" t="s">
        <v>749</v>
      </c>
      <c r="B38" s="549">
        <v>124306.36900000001</v>
      </c>
      <c r="C38" s="549">
        <f t="shared" si="0"/>
        <v>106370.51377805413</v>
      </c>
      <c r="D38" s="550">
        <v>310</v>
      </c>
    </row>
    <row r="39" spans="1:4" x14ac:dyDescent="0.3">
      <c r="A39" s="551" t="s">
        <v>750</v>
      </c>
      <c r="B39" s="552">
        <v>39026.334999999999</v>
      </c>
      <c r="C39" s="552">
        <f t="shared" si="0"/>
        <v>33395.322687162203</v>
      </c>
      <c r="D39" s="553">
        <v>1375</v>
      </c>
    </row>
    <row r="40" spans="1:4" x14ac:dyDescent="0.3">
      <c r="A40" s="548" t="s">
        <v>751</v>
      </c>
      <c r="B40" s="549">
        <v>21567.535</v>
      </c>
      <c r="C40" s="549">
        <f t="shared" si="0"/>
        <v>18455.609292844558</v>
      </c>
      <c r="D40" s="550">
        <v>1380</v>
      </c>
    </row>
    <row r="41" spans="1:4" x14ac:dyDescent="0.3">
      <c r="A41" s="551" t="s">
        <v>752</v>
      </c>
      <c r="B41" s="552">
        <v>21600.266</v>
      </c>
      <c r="C41" s="552">
        <f t="shared" si="0"/>
        <v>18483.617618680779</v>
      </c>
      <c r="D41" s="553">
        <v>1415</v>
      </c>
    </row>
    <row r="42" spans="1:4" x14ac:dyDescent="0.3">
      <c r="A42" s="548" t="s">
        <v>753</v>
      </c>
      <c r="B42" s="549">
        <v>20505.830999999998</v>
      </c>
      <c r="C42" s="549">
        <f t="shared" si="0"/>
        <v>17547.09590878605</v>
      </c>
      <c r="D42" s="550">
        <v>1400</v>
      </c>
    </row>
    <row r="43" spans="1:4" x14ac:dyDescent="0.3">
      <c r="A43" s="554" t="s">
        <v>606</v>
      </c>
      <c r="B43" s="555">
        <f>SUM(B36:B42)</f>
        <v>580802.48899999994</v>
      </c>
      <c r="C43" s="588">
        <f t="shared" si="0"/>
        <v>496999.94984571246</v>
      </c>
      <c r="D43" s="556"/>
    </row>
    <row r="45" spans="1:4" x14ac:dyDescent="0.3">
      <c r="A45" s="544" t="s">
        <v>754</v>
      </c>
    </row>
    <row r="46" spans="1:4" x14ac:dyDescent="0.3">
      <c r="A46" s="557">
        <f>((SUMPRODUCT(B36:B38,D36:D38))/B43)*(1/(1-C$32))</f>
        <v>249.44059471934668</v>
      </c>
    </row>
    <row r="48" spans="1:4" x14ac:dyDescent="0.3">
      <c r="A48" s="547" t="s">
        <v>755</v>
      </c>
    </row>
    <row r="49" spans="1:2" x14ac:dyDescent="0.3">
      <c r="A49" s="558">
        <f>((SUMPRODUCT(B39:B42,D39:D42))/B43)*(1/(1-C$32))</f>
        <v>287.1166259861767</v>
      </c>
    </row>
    <row r="55" spans="1:2" x14ac:dyDescent="0.3">
      <c r="B55" s="534"/>
    </row>
    <row r="56" spans="1:2" x14ac:dyDescent="0.3">
      <c r="B56" s="5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CDC4F-B37F-4BD2-9FC8-2FB9FC0D165E}">
  <dimension ref="A1:E36"/>
  <sheetViews>
    <sheetView topLeftCell="A4" zoomScale="85" zoomScaleNormal="85" workbookViewId="0">
      <selection activeCell="E36" sqref="E36"/>
    </sheetView>
  </sheetViews>
  <sheetFormatPr defaultColWidth="8.6640625" defaultRowHeight="14.4" x14ac:dyDescent="0.3"/>
  <cols>
    <col min="1" max="1" width="72.88671875" bestFit="1" customWidth="1"/>
    <col min="2" max="2" width="44.44140625" bestFit="1" customWidth="1"/>
    <col min="3" max="3" width="49.6640625" bestFit="1" customWidth="1"/>
    <col min="4" max="4" width="30.44140625" bestFit="1" customWidth="1"/>
    <col min="5" max="5" width="64.6640625" bestFit="1" customWidth="1"/>
  </cols>
  <sheetData>
    <row r="1" spans="1:4" x14ac:dyDescent="0.3">
      <c r="A1" s="347"/>
    </row>
    <row r="2" spans="1:4" x14ac:dyDescent="0.3">
      <c r="A2" s="96" t="s">
        <v>735</v>
      </c>
    </row>
    <row r="3" spans="1:4" x14ac:dyDescent="0.3">
      <c r="A3" s="96" t="s">
        <v>736</v>
      </c>
    </row>
    <row r="5" spans="1:4" x14ac:dyDescent="0.3">
      <c r="B5" s="47" t="s">
        <v>737</v>
      </c>
      <c r="C5" s="36" t="s">
        <v>756</v>
      </c>
      <c r="D5" s="132" t="s">
        <v>739</v>
      </c>
    </row>
    <row r="6" spans="1:4" x14ac:dyDescent="0.3">
      <c r="C6" s="524"/>
      <c r="D6" s="96"/>
    </row>
    <row r="7" spans="1:4" x14ac:dyDescent="0.3">
      <c r="A7" s="535" t="s">
        <v>740</v>
      </c>
      <c r="B7" s="536" t="s">
        <v>757</v>
      </c>
      <c r="C7" s="559" t="s">
        <v>758</v>
      </c>
      <c r="D7" s="96"/>
    </row>
    <row r="8" spans="1:4" x14ac:dyDescent="0.3">
      <c r="A8" s="538" t="s">
        <v>418</v>
      </c>
      <c r="B8" s="539">
        <v>3746.21</v>
      </c>
      <c r="C8" s="560">
        <v>0.13</v>
      </c>
      <c r="D8" s="96"/>
    </row>
    <row r="9" spans="1:4" x14ac:dyDescent="0.3">
      <c r="A9" s="540" t="s">
        <v>419</v>
      </c>
      <c r="B9" s="541">
        <v>3966.5749999999998</v>
      </c>
      <c r="C9" s="561">
        <v>0.15</v>
      </c>
      <c r="D9" s="96"/>
    </row>
    <row r="10" spans="1:4" x14ac:dyDescent="0.3">
      <c r="A10" s="538" t="s">
        <v>420</v>
      </c>
      <c r="B10" s="539">
        <v>4275.0870000000004</v>
      </c>
      <c r="C10" s="560">
        <v>0.14000000000000001</v>
      </c>
      <c r="D10" s="96"/>
    </row>
    <row r="11" spans="1:4" x14ac:dyDescent="0.3">
      <c r="A11" s="540" t="s">
        <v>421</v>
      </c>
      <c r="B11" s="541">
        <v>4363.2330000000002</v>
      </c>
      <c r="C11" s="561">
        <v>0.15</v>
      </c>
      <c r="D11" s="96"/>
    </row>
    <row r="12" spans="1:4" x14ac:dyDescent="0.3">
      <c r="A12" s="538" t="s">
        <v>422</v>
      </c>
      <c r="B12" s="539">
        <v>3834.3560000000002</v>
      </c>
      <c r="C12" s="560">
        <v>0.14000000000000001</v>
      </c>
      <c r="D12" s="96"/>
    </row>
    <row r="13" spans="1:4" x14ac:dyDescent="0.3">
      <c r="A13" s="540" t="s">
        <v>423</v>
      </c>
      <c r="B13" s="541">
        <v>3790.2829999999999</v>
      </c>
      <c r="C13" s="561">
        <v>0.13</v>
      </c>
      <c r="D13" s="96"/>
    </row>
    <row r="14" spans="1:4" x14ac:dyDescent="0.3">
      <c r="A14" s="538" t="s">
        <v>424</v>
      </c>
      <c r="B14" s="539">
        <v>4098.7950000000001</v>
      </c>
      <c r="C14" s="560">
        <v>0.12</v>
      </c>
      <c r="D14" s="96"/>
    </row>
    <row r="15" spans="1:4" x14ac:dyDescent="0.3">
      <c r="A15" s="540" t="s">
        <v>425</v>
      </c>
      <c r="B15" s="541">
        <v>4186.9409999999998</v>
      </c>
      <c r="C15" s="561">
        <v>0.15</v>
      </c>
      <c r="D15" s="96"/>
    </row>
    <row r="16" spans="1:4" x14ac:dyDescent="0.3">
      <c r="A16" s="538" t="s">
        <v>426</v>
      </c>
      <c r="B16" s="539">
        <v>4010.6480000000001</v>
      </c>
      <c r="C16" s="560">
        <v>0.15</v>
      </c>
      <c r="D16" s="96"/>
    </row>
    <row r="17" spans="1:4" x14ac:dyDescent="0.3">
      <c r="A17" s="540" t="s">
        <v>427</v>
      </c>
      <c r="B17" s="541">
        <v>3922.502</v>
      </c>
      <c r="C17" s="561">
        <v>0.14000000000000001</v>
      </c>
      <c r="D17" s="96"/>
    </row>
    <row r="18" spans="1:4" x14ac:dyDescent="0.3">
      <c r="A18" s="538" t="s">
        <v>428</v>
      </c>
      <c r="B18" s="539">
        <v>4319.16</v>
      </c>
      <c r="C18" s="560">
        <v>0.13</v>
      </c>
      <c r="D18" s="96"/>
    </row>
    <row r="19" spans="1:4" x14ac:dyDescent="0.3">
      <c r="A19" s="540" t="s">
        <v>429</v>
      </c>
      <c r="B19" s="541">
        <v>4054.721</v>
      </c>
      <c r="C19" s="561">
        <v>0.14000000000000001</v>
      </c>
      <c r="D19" s="96"/>
    </row>
    <row r="20" spans="1:4" x14ac:dyDescent="0.3">
      <c r="A20" s="538" t="s">
        <v>430</v>
      </c>
      <c r="B20" s="539">
        <v>5068.402</v>
      </c>
      <c r="C20" s="560">
        <v>0.14000000000000001</v>
      </c>
      <c r="D20" s="96"/>
    </row>
    <row r="21" spans="1:4" x14ac:dyDescent="0.3">
      <c r="A21" s="540" t="s">
        <v>431</v>
      </c>
      <c r="B21" s="541">
        <v>4848.0370000000003</v>
      </c>
      <c r="C21" s="561">
        <v>0.15</v>
      </c>
      <c r="D21" s="96"/>
    </row>
    <row r="22" spans="1:4" x14ac:dyDescent="0.3">
      <c r="A22" s="538" t="s">
        <v>432</v>
      </c>
      <c r="B22" s="539">
        <v>4539.5249999999996</v>
      </c>
      <c r="C22" s="560">
        <v>0.14000000000000001</v>
      </c>
      <c r="D22" s="96"/>
    </row>
    <row r="23" spans="1:4" x14ac:dyDescent="0.3">
      <c r="A23" s="540" t="s">
        <v>433</v>
      </c>
      <c r="B23" s="541">
        <v>4451.3789999999999</v>
      </c>
      <c r="C23" s="561">
        <v>0.13</v>
      </c>
      <c r="D23" s="96"/>
    </row>
    <row r="24" spans="1:4" x14ac:dyDescent="0.3">
      <c r="A24" s="538" t="s">
        <v>434</v>
      </c>
      <c r="B24" s="539">
        <v>4980.2560000000003</v>
      </c>
      <c r="C24" s="560">
        <v>0.13</v>
      </c>
      <c r="D24" s="96"/>
    </row>
    <row r="25" spans="1:4" x14ac:dyDescent="0.3">
      <c r="A25" s="540" t="s">
        <v>435</v>
      </c>
      <c r="B25" s="541">
        <v>5024.3289999999997</v>
      </c>
      <c r="C25" s="561">
        <v>0.15</v>
      </c>
      <c r="D25" s="96"/>
    </row>
    <row r="26" spans="1:4" x14ac:dyDescent="0.3">
      <c r="A26" s="538" t="s">
        <v>436</v>
      </c>
      <c r="B26" s="539">
        <v>4715.817</v>
      </c>
      <c r="C26" s="560">
        <v>0.15</v>
      </c>
      <c r="D26" s="96"/>
    </row>
    <row r="27" spans="1:4" x14ac:dyDescent="0.3">
      <c r="A27" s="540" t="s">
        <v>437</v>
      </c>
      <c r="B27" s="541">
        <v>4627.6710000000003</v>
      </c>
      <c r="C27" s="561">
        <v>0.13</v>
      </c>
      <c r="D27" s="96"/>
    </row>
    <row r="28" spans="1:4" x14ac:dyDescent="0.3">
      <c r="A28" s="538" t="s">
        <v>438</v>
      </c>
      <c r="B28" s="539">
        <v>4803.9629999999997</v>
      </c>
      <c r="C28" s="560">
        <v>0.15</v>
      </c>
      <c r="D28" s="96"/>
    </row>
    <row r="29" spans="1:4" x14ac:dyDescent="0.3">
      <c r="A29" s="540" t="s">
        <v>439</v>
      </c>
      <c r="B29" s="541">
        <v>4892.1099999999997</v>
      </c>
      <c r="C29" s="561">
        <v>0.14000000000000001</v>
      </c>
      <c r="D29" s="96"/>
    </row>
    <row r="30" spans="1:4" x14ac:dyDescent="0.3">
      <c r="A30" s="538" t="s">
        <v>440</v>
      </c>
      <c r="B30" s="539">
        <v>4495.4520000000002</v>
      </c>
      <c r="C30" s="560">
        <v>0.15</v>
      </c>
      <c r="D30" s="96"/>
    </row>
    <row r="31" spans="1:4" x14ac:dyDescent="0.3">
      <c r="A31" s="540" t="s">
        <v>441</v>
      </c>
      <c r="B31" s="541">
        <v>4759.8900000000003</v>
      </c>
      <c r="C31" s="561">
        <v>0.14000000000000001</v>
      </c>
      <c r="D31" s="96"/>
    </row>
    <row r="32" spans="1:4" x14ac:dyDescent="0.3">
      <c r="A32" s="562" t="s">
        <v>606</v>
      </c>
      <c r="B32" s="563">
        <f>SUM(B8:B31)</f>
        <v>105775.34199999999</v>
      </c>
      <c r="C32" s="564">
        <f>SUMPRODUCT(B8:B31,C8:C31)/SUM(B8:B31)</f>
        <v>0.14059583319522614</v>
      </c>
      <c r="D32" s="96"/>
    </row>
    <row r="33" spans="1:5" x14ac:dyDescent="0.3">
      <c r="B33" s="706"/>
      <c r="C33" s="706"/>
      <c r="D33" s="96"/>
    </row>
    <row r="35" spans="1:5" x14ac:dyDescent="0.3">
      <c r="A35" s="565" t="s">
        <v>743</v>
      </c>
      <c r="B35" s="566" t="s">
        <v>744</v>
      </c>
      <c r="C35" s="566" t="s">
        <v>745</v>
      </c>
      <c r="D35" s="566" t="s">
        <v>746</v>
      </c>
      <c r="E35" s="567" t="s">
        <v>759</v>
      </c>
    </row>
    <row r="36" spans="1:5" x14ac:dyDescent="0.3">
      <c r="A36" s="568" t="s">
        <v>760</v>
      </c>
      <c r="B36" s="569">
        <f>B32</f>
        <v>105775.34199999999</v>
      </c>
      <c r="C36" s="587">
        <f>B36*(1-C32)</f>
        <v>90903.769659999991</v>
      </c>
      <c r="D36" s="569">
        <v>683</v>
      </c>
      <c r="E36" s="570">
        <f>D36*(1/(1-C32))</f>
        <v>794.73666335522125</v>
      </c>
    </row>
  </sheetData>
  <mergeCells count="1">
    <mergeCell ref="B33:C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C5885-9E59-4B6C-8951-F264DFFD4626}">
  <dimension ref="A1:D33"/>
  <sheetViews>
    <sheetView workbookViewId="0">
      <selection activeCell="B41" sqref="B41"/>
    </sheetView>
  </sheetViews>
  <sheetFormatPr defaultColWidth="8.6640625" defaultRowHeight="14.4" x14ac:dyDescent="0.3"/>
  <cols>
    <col min="1" max="1" width="72.88671875" bestFit="1" customWidth="1"/>
    <col min="2" max="2" width="46.109375" bestFit="1" customWidth="1"/>
    <col min="3" max="3" width="49.6640625" bestFit="1" customWidth="1"/>
    <col min="4" max="4" width="41.33203125" bestFit="1" customWidth="1"/>
    <col min="5" max="5" width="64.6640625" bestFit="1" customWidth="1"/>
  </cols>
  <sheetData>
    <row r="1" spans="1:4" x14ac:dyDescent="0.3">
      <c r="A1" s="347"/>
    </row>
    <row r="2" spans="1:4" x14ac:dyDescent="0.3">
      <c r="A2" s="96" t="s">
        <v>735</v>
      </c>
    </row>
    <row r="3" spans="1:4" x14ac:dyDescent="0.3">
      <c r="A3" s="96" t="s">
        <v>736</v>
      </c>
    </row>
    <row r="5" spans="1:4" x14ac:dyDescent="0.3">
      <c r="B5" s="47" t="s">
        <v>737</v>
      </c>
      <c r="C5" s="36" t="s">
        <v>36</v>
      </c>
      <c r="D5" s="132" t="s">
        <v>739</v>
      </c>
    </row>
    <row r="6" spans="1:4" x14ac:dyDescent="0.3">
      <c r="C6" s="524"/>
      <c r="D6" s="96"/>
    </row>
    <row r="7" spans="1:4" x14ac:dyDescent="0.3">
      <c r="A7" s="535" t="s">
        <v>740</v>
      </c>
      <c r="B7" s="536" t="s">
        <v>761</v>
      </c>
      <c r="C7" s="536" t="s">
        <v>762</v>
      </c>
      <c r="D7" s="537" t="s">
        <v>763</v>
      </c>
    </row>
    <row r="8" spans="1:4" x14ac:dyDescent="0.3">
      <c r="A8" s="538" t="s">
        <v>418</v>
      </c>
      <c r="B8" s="571">
        <f>'Side Calc. - Bioethanol'!$D8-'Side Calc. - Bioethanol'!$C8</f>
        <v>8854195</v>
      </c>
      <c r="C8" s="571">
        <v>203646.48499999999</v>
      </c>
      <c r="D8" s="572">
        <v>9057841.4849999994</v>
      </c>
    </row>
    <row r="9" spans="1:4" x14ac:dyDescent="0.3">
      <c r="A9" s="540" t="s">
        <v>419</v>
      </c>
      <c r="B9" s="573">
        <f>'Side Calc. - Bioethanol'!$D9-'Side Calc. - Bioethanol'!$C9</f>
        <v>9375030</v>
      </c>
      <c r="C9" s="573">
        <v>215625.69</v>
      </c>
      <c r="D9" s="574">
        <v>9590655.6899999995</v>
      </c>
    </row>
    <row r="10" spans="1:4" x14ac:dyDescent="0.3">
      <c r="A10" s="538" t="s">
        <v>420</v>
      </c>
      <c r="B10" s="571">
        <f>'Side Calc. - Bioethanol'!$D10-'Side Calc. - Bioethanol'!$C10</f>
        <v>10104199</v>
      </c>
      <c r="C10" s="571">
        <v>232396.57699999999</v>
      </c>
      <c r="D10" s="572">
        <v>10336595.577</v>
      </c>
    </row>
    <row r="11" spans="1:4" x14ac:dyDescent="0.3">
      <c r="A11" s="540" t="s">
        <v>421</v>
      </c>
      <c r="B11" s="573">
        <f>'Side Calc. - Bioethanol'!$D11-'Side Calc. - Bioethanol'!$C11</f>
        <v>10312533</v>
      </c>
      <c r="C11" s="573">
        <v>237188.25899999999</v>
      </c>
      <c r="D11" s="574">
        <v>10549721.259</v>
      </c>
    </row>
    <row r="12" spans="1:4" x14ac:dyDescent="0.3">
      <c r="A12" s="538" t="s">
        <v>422</v>
      </c>
      <c r="B12" s="571">
        <f>'Side Calc. - Bioethanol'!$D12-'Side Calc. - Bioethanol'!$C12</f>
        <v>9062529</v>
      </c>
      <c r="C12" s="571">
        <v>208438.16699999999</v>
      </c>
      <c r="D12" s="572">
        <v>9270967.1669999994</v>
      </c>
    </row>
    <row r="13" spans="1:4" x14ac:dyDescent="0.3">
      <c r="A13" s="540" t="s">
        <v>423</v>
      </c>
      <c r="B13" s="573">
        <f>'Side Calc. - Bioethanol'!$D13-'Side Calc. - Bioethanol'!$C13</f>
        <v>8958362</v>
      </c>
      <c r="C13" s="573">
        <v>206042.326</v>
      </c>
      <c r="D13" s="574">
        <v>9164404.3259999994</v>
      </c>
    </row>
    <row r="14" spans="1:4" x14ac:dyDescent="0.3">
      <c r="A14" s="538" t="s">
        <v>424</v>
      </c>
      <c r="B14" s="571">
        <f>'Side Calc. - Bioethanol'!$D14-'Side Calc. - Bioethanol'!$C14</f>
        <v>9687531</v>
      </c>
      <c r="C14" s="571">
        <v>222813.21299999999</v>
      </c>
      <c r="D14" s="572">
        <v>9910344.2129999995</v>
      </c>
    </row>
    <row r="15" spans="1:4" x14ac:dyDescent="0.3">
      <c r="A15" s="540" t="s">
        <v>425</v>
      </c>
      <c r="B15" s="573">
        <f>'Side Calc. - Bioethanol'!$D15-'Side Calc. - Bioethanol'!$C15</f>
        <v>9895865</v>
      </c>
      <c r="C15" s="573">
        <v>227604.89499999999</v>
      </c>
      <c r="D15" s="574">
        <v>10123469.895</v>
      </c>
    </row>
    <row r="16" spans="1:4" x14ac:dyDescent="0.3">
      <c r="A16" s="538" t="s">
        <v>426</v>
      </c>
      <c r="B16" s="571">
        <f>'Side Calc. - Bioethanol'!$D16-'Side Calc. - Bioethanol'!$C16</f>
        <v>9479197</v>
      </c>
      <c r="C16" s="571">
        <v>218021.53099999999</v>
      </c>
      <c r="D16" s="572">
        <v>9697218.5309999995</v>
      </c>
    </row>
    <row r="17" spans="1:4" x14ac:dyDescent="0.3">
      <c r="A17" s="540" t="s">
        <v>427</v>
      </c>
      <c r="B17" s="573">
        <f>'Side Calc. - Bioethanol'!$D17-'Side Calc. - Bioethanol'!$C17</f>
        <v>9270863</v>
      </c>
      <c r="C17" s="573">
        <v>213229.84899999999</v>
      </c>
      <c r="D17" s="574">
        <v>9484092.8489999995</v>
      </c>
    </row>
    <row r="18" spans="1:4" x14ac:dyDescent="0.3">
      <c r="A18" s="538" t="s">
        <v>428</v>
      </c>
      <c r="B18" s="571">
        <f>'Side Calc. - Bioethanol'!$D18-'Side Calc. - Bioethanol'!$C18</f>
        <v>10208366</v>
      </c>
      <c r="C18" s="571">
        <v>234792.41800000001</v>
      </c>
      <c r="D18" s="572">
        <v>10443158.418</v>
      </c>
    </row>
    <row r="19" spans="1:4" x14ac:dyDescent="0.3">
      <c r="A19" s="540" t="s">
        <v>429</v>
      </c>
      <c r="B19" s="573">
        <f>'Side Calc. - Bioethanol'!$D19-'Side Calc. - Bioethanol'!$C19</f>
        <v>9583364</v>
      </c>
      <c r="C19" s="573">
        <v>220417.372</v>
      </c>
      <c r="D19" s="574">
        <v>9803781.3719999995</v>
      </c>
    </row>
    <row r="20" spans="1:4" x14ac:dyDescent="0.3">
      <c r="A20" s="538" t="s">
        <v>430</v>
      </c>
      <c r="B20" s="571">
        <f>'Side Calc. - Bioethanol'!$D20-'Side Calc. - Bioethanol'!$C20</f>
        <v>11979204.999999998</v>
      </c>
      <c r="C20" s="571">
        <v>275521.71499999997</v>
      </c>
      <c r="D20" s="572">
        <v>12254726.714999998</v>
      </c>
    </row>
    <row r="21" spans="1:4" x14ac:dyDescent="0.3">
      <c r="A21" s="540" t="s">
        <v>431</v>
      </c>
      <c r="B21" s="573">
        <f>'Side Calc. - Bioethanol'!$D21-'Side Calc. - Bioethanol'!$C21</f>
        <v>11458370</v>
      </c>
      <c r="C21" s="573">
        <v>263542.51</v>
      </c>
      <c r="D21" s="574">
        <v>11721912.51</v>
      </c>
    </row>
    <row r="22" spans="1:4" x14ac:dyDescent="0.3">
      <c r="A22" s="538" t="s">
        <v>432</v>
      </c>
      <c r="B22" s="571">
        <f>'Side Calc. - Bioethanol'!$D22-'Side Calc. - Bioethanol'!$C22</f>
        <v>10729201</v>
      </c>
      <c r="C22" s="571">
        <v>246771.62299999999</v>
      </c>
      <c r="D22" s="572">
        <v>10975972.623</v>
      </c>
    </row>
    <row r="23" spans="1:4" x14ac:dyDescent="0.3">
      <c r="A23" s="540" t="s">
        <v>433</v>
      </c>
      <c r="B23" s="573">
        <f>'Side Calc. - Bioethanol'!$D23-'Side Calc. - Bioethanol'!$C23</f>
        <v>10520867</v>
      </c>
      <c r="C23" s="573">
        <v>241979.94099999999</v>
      </c>
      <c r="D23" s="574">
        <v>10762846.941</v>
      </c>
    </row>
    <row r="24" spans="1:4" x14ac:dyDescent="0.3">
      <c r="A24" s="538" t="s">
        <v>434</v>
      </c>
      <c r="B24" s="571">
        <f>'Side Calc. - Bioethanol'!$D24-'Side Calc. - Bioethanol'!$C24</f>
        <v>11770871</v>
      </c>
      <c r="C24" s="571">
        <v>270730.033</v>
      </c>
      <c r="D24" s="572">
        <v>12041601.033</v>
      </c>
    </row>
    <row r="25" spans="1:4" x14ac:dyDescent="0.3">
      <c r="A25" s="540" t="s">
        <v>435</v>
      </c>
      <c r="B25" s="573">
        <f>'Side Calc. - Bioethanol'!$D25-'Side Calc. - Bioethanol'!$C25</f>
        <v>11875038</v>
      </c>
      <c r="C25" s="573">
        <v>273125.87400000001</v>
      </c>
      <c r="D25" s="574">
        <v>12148163.874</v>
      </c>
    </row>
    <row r="26" spans="1:4" x14ac:dyDescent="0.3">
      <c r="A26" s="538" t="s">
        <v>436</v>
      </c>
      <c r="B26" s="571">
        <f>'Side Calc. - Bioethanol'!$D26-'Side Calc. - Bioethanol'!$C26</f>
        <v>11145869</v>
      </c>
      <c r="C26" s="571">
        <v>256354.98699999999</v>
      </c>
      <c r="D26" s="572">
        <v>11402223.987</v>
      </c>
    </row>
    <row r="27" spans="1:4" x14ac:dyDescent="0.3">
      <c r="A27" s="540" t="s">
        <v>437</v>
      </c>
      <c r="B27" s="573">
        <f>'Side Calc. - Bioethanol'!$D27-'Side Calc. - Bioethanol'!$C27</f>
        <v>10937535</v>
      </c>
      <c r="C27" s="573">
        <v>251563.30499999999</v>
      </c>
      <c r="D27" s="574">
        <v>11189098.305</v>
      </c>
    </row>
    <row r="28" spans="1:4" x14ac:dyDescent="0.3">
      <c r="A28" s="538" t="s">
        <v>438</v>
      </c>
      <c r="B28" s="571">
        <f>'Side Calc. - Bioethanol'!$D28-'Side Calc. - Bioethanol'!$C28</f>
        <v>11354203</v>
      </c>
      <c r="C28" s="571">
        <v>261146.66899999999</v>
      </c>
      <c r="D28" s="572">
        <v>11615349.669</v>
      </c>
    </row>
    <row r="29" spans="1:4" x14ac:dyDescent="0.3">
      <c r="A29" s="540" t="s">
        <v>439</v>
      </c>
      <c r="B29" s="573">
        <f>'Side Calc. - Bioethanol'!$D29-'Side Calc. - Bioethanol'!$C29</f>
        <v>11562537</v>
      </c>
      <c r="C29" s="573">
        <v>265938.35100000002</v>
      </c>
      <c r="D29" s="574">
        <v>11828475.351</v>
      </c>
    </row>
    <row r="30" spans="1:4" x14ac:dyDescent="0.3">
      <c r="A30" s="538" t="s">
        <v>440</v>
      </c>
      <c r="B30" s="571">
        <f>'Side Calc. - Bioethanol'!$D30-'Side Calc. - Bioethanol'!$C30</f>
        <v>10625034</v>
      </c>
      <c r="C30" s="571">
        <v>244375.78200000001</v>
      </c>
      <c r="D30" s="572">
        <v>10869409.782</v>
      </c>
    </row>
    <row r="31" spans="1:4" x14ac:dyDescent="0.3">
      <c r="A31" s="540" t="s">
        <v>441</v>
      </c>
      <c r="B31" s="573">
        <f>'Side Calc. - Bioethanol'!$D31-'Side Calc. - Bioethanol'!$C31</f>
        <v>11250036</v>
      </c>
      <c r="C31" s="573">
        <v>258750.82800000001</v>
      </c>
      <c r="D31" s="574">
        <v>11508786.828</v>
      </c>
    </row>
    <row r="32" spans="1:4" x14ac:dyDescent="0.3">
      <c r="A32" s="542" t="s">
        <v>606</v>
      </c>
      <c r="B32" s="575">
        <f>SUM(B8:B31)</f>
        <v>250000800</v>
      </c>
      <c r="C32" s="575">
        <f>SUM(C8:C31)</f>
        <v>5750018.3999999976</v>
      </c>
      <c r="D32" s="576">
        <f>SUM(D8:D31)</f>
        <v>255750818.40000001</v>
      </c>
    </row>
    <row r="33" spans="2:4" x14ac:dyDescent="0.3">
      <c r="B33" s="706"/>
      <c r="C33" s="706"/>
      <c r="D33" s="96"/>
    </row>
  </sheetData>
  <mergeCells count="1">
    <mergeCell ref="B33:C33"/>
  </mergeCells>
  <pageMargins left="0.7" right="0.7" top="0.75" bottom="0.75" header="0.3" footer="0.3"/>
  <ignoredErrors>
    <ignoredError sqref="C8:C31 D8:D32" calculatedColumn="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A630-C17B-417B-A936-59475383A207}">
  <dimension ref="A1:O33"/>
  <sheetViews>
    <sheetView workbookViewId="0">
      <selection activeCell="B8" sqref="B8:B31"/>
    </sheetView>
  </sheetViews>
  <sheetFormatPr defaultColWidth="8.6640625" defaultRowHeight="14.4" x14ac:dyDescent="0.3"/>
  <cols>
    <col min="1" max="1" width="72.88671875" bestFit="1" customWidth="1"/>
    <col min="2" max="2" width="44.88671875" bestFit="1" customWidth="1"/>
    <col min="3" max="3" width="47.88671875" bestFit="1" customWidth="1"/>
    <col min="4" max="4" width="30.44140625" bestFit="1" customWidth="1"/>
    <col min="5" max="5" width="49.6640625" bestFit="1" customWidth="1"/>
  </cols>
  <sheetData>
    <row r="1" spans="1:5" x14ac:dyDescent="0.3">
      <c r="A1" s="347"/>
    </row>
    <row r="2" spans="1:5" x14ac:dyDescent="0.3">
      <c r="A2" s="96" t="s">
        <v>735</v>
      </c>
    </row>
    <row r="3" spans="1:5" x14ac:dyDescent="0.3">
      <c r="A3" s="96" t="s">
        <v>736</v>
      </c>
    </row>
    <row r="5" spans="1:5" x14ac:dyDescent="0.3">
      <c r="B5" s="47" t="s">
        <v>737</v>
      </c>
      <c r="C5" s="36" t="s">
        <v>533</v>
      </c>
      <c r="D5" s="132" t="s">
        <v>739</v>
      </c>
    </row>
    <row r="7" spans="1:5" x14ac:dyDescent="0.3">
      <c r="A7" s="545" t="s">
        <v>740</v>
      </c>
      <c r="B7" s="545" t="s">
        <v>764</v>
      </c>
      <c r="C7" s="546" t="s">
        <v>765</v>
      </c>
      <c r="D7" s="501"/>
      <c r="E7" s="499"/>
    </row>
    <row r="8" spans="1:5" x14ac:dyDescent="0.3">
      <c r="A8" s="539" t="s">
        <v>418</v>
      </c>
      <c r="B8" s="539">
        <v>3017.3580000000002</v>
      </c>
      <c r="C8" s="577">
        <v>0.59</v>
      </c>
      <c r="D8" s="500"/>
    </row>
    <row r="9" spans="1:5" x14ac:dyDescent="0.3">
      <c r="A9" s="541" t="s">
        <v>419</v>
      </c>
      <c r="B9" s="541">
        <v>3194.8499999999967</v>
      </c>
      <c r="C9" s="578">
        <v>0.56000000000000005</v>
      </c>
      <c r="D9" s="500"/>
    </row>
    <row r="10" spans="1:5" x14ac:dyDescent="0.3">
      <c r="A10" s="539" t="s">
        <v>420</v>
      </c>
      <c r="B10" s="539">
        <v>3443.3380000000002</v>
      </c>
      <c r="C10" s="577">
        <v>0.71</v>
      </c>
      <c r="D10" s="500"/>
    </row>
    <row r="11" spans="1:5" x14ac:dyDescent="0.3">
      <c r="A11" s="541" t="s">
        <v>421</v>
      </c>
      <c r="B11" s="541">
        <v>3514.3349999999964</v>
      </c>
      <c r="C11" s="578">
        <v>0.65</v>
      </c>
      <c r="D11" s="500"/>
    </row>
    <row r="12" spans="1:5" x14ac:dyDescent="0.3">
      <c r="A12" s="539" t="s">
        <v>422</v>
      </c>
      <c r="B12" s="539">
        <v>3088.3549999999968</v>
      </c>
      <c r="C12" s="577">
        <v>0.7</v>
      </c>
      <c r="D12" s="500"/>
    </row>
    <row r="13" spans="1:5" x14ac:dyDescent="0.3">
      <c r="A13" s="541" t="s">
        <v>423</v>
      </c>
      <c r="B13" s="541">
        <v>3052.857</v>
      </c>
      <c r="C13" s="578">
        <v>0.75</v>
      </c>
      <c r="D13" s="500"/>
    </row>
    <row r="14" spans="1:5" x14ac:dyDescent="0.3">
      <c r="A14" s="539" t="s">
        <v>424</v>
      </c>
      <c r="B14" s="539">
        <v>3301.3449999999971</v>
      </c>
      <c r="C14" s="577">
        <v>0.61</v>
      </c>
      <c r="D14" s="500"/>
    </row>
    <row r="15" spans="1:5" x14ac:dyDescent="0.3">
      <c r="A15" s="541" t="s">
        <v>425</v>
      </c>
      <c r="B15" s="541">
        <v>3372.3420000000001</v>
      </c>
      <c r="C15" s="578">
        <v>0.68</v>
      </c>
      <c r="D15" s="500"/>
    </row>
    <row r="16" spans="1:5" x14ac:dyDescent="0.3">
      <c r="A16" s="539" t="s">
        <v>426</v>
      </c>
      <c r="B16" s="539">
        <v>3230.348</v>
      </c>
      <c r="C16" s="577">
        <v>0.7</v>
      </c>
      <c r="D16" s="500"/>
    </row>
    <row r="17" spans="1:4" x14ac:dyDescent="0.3">
      <c r="A17" s="541" t="s">
        <v>427</v>
      </c>
      <c r="B17" s="541">
        <v>3159.3519999999999</v>
      </c>
      <c r="C17" s="578">
        <v>0.61</v>
      </c>
      <c r="D17" s="500"/>
    </row>
    <row r="18" spans="1:4" x14ac:dyDescent="0.3">
      <c r="A18" s="539" t="s">
        <v>428</v>
      </c>
      <c r="B18" s="539">
        <v>3478.837</v>
      </c>
      <c r="C18" s="577">
        <v>0.64</v>
      </c>
      <c r="D18" s="500"/>
    </row>
    <row r="19" spans="1:4" x14ac:dyDescent="0.3">
      <c r="A19" s="541" t="s">
        <v>429</v>
      </c>
      <c r="B19" s="541">
        <v>3265.8470000000002</v>
      </c>
      <c r="C19" s="578">
        <v>0.71</v>
      </c>
      <c r="D19" s="500"/>
    </row>
    <row r="20" spans="1:4" x14ac:dyDescent="0.3">
      <c r="A20" s="539" t="s">
        <v>430</v>
      </c>
      <c r="B20" s="539">
        <v>4082.308</v>
      </c>
      <c r="C20" s="577">
        <v>0.72</v>
      </c>
      <c r="D20" s="500"/>
    </row>
    <row r="21" spans="1:4" x14ac:dyDescent="0.3">
      <c r="A21" s="541" t="s">
        <v>431</v>
      </c>
      <c r="B21" s="541">
        <v>3904.817</v>
      </c>
      <c r="C21" s="578">
        <v>0.65</v>
      </c>
      <c r="D21" s="500"/>
    </row>
    <row r="22" spans="1:4" x14ac:dyDescent="0.3">
      <c r="A22" s="539" t="s">
        <v>432</v>
      </c>
      <c r="B22" s="539">
        <v>3656.328</v>
      </c>
      <c r="C22" s="577">
        <v>0.62</v>
      </c>
      <c r="D22" s="500"/>
    </row>
    <row r="23" spans="1:4" x14ac:dyDescent="0.3">
      <c r="A23" s="541" t="s">
        <v>433</v>
      </c>
      <c r="B23" s="541">
        <v>3585.3319999999999</v>
      </c>
      <c r="C23" s="578">
        <v>0.6</v>
      </c>
      <c r="D23" s="500"/>
    </row>
    <row r="24" spans="1:4" x14ac:dyDescent="0.3">
      <c r="A24" s="539" t="s">
        <v>434</v>
      </c>
      <c r="B24" s="539">
        <v>4011.3119999999999</v>
      </c>
      <c r="C24" s="577">
        <v>0.66</v>
      </c>
      <c r="D24" s="500"/>
    </row>
    <row r="25" spans="1:4" x14ac:dyDescent="0.3">
      <c r="A25" s="541" t="s">
        <v>435</v>
      </c>
      <c r="B25" s="541">
        <v>4046.8099999999963</v>
      </c>
      <c r="C25" s="578">
        <v>0.68</v>
      </c>
      <c r="D25" s="500"/>
    </row>
    <row r="26" spans="1:4" x14ac:dyDescent="0.3">
      <c r="A26" s="539" t="s">
        <v>436</v>
      </c>
      <c r="B26" s="539">
        <v>3798.3220000000001</v>
      </c>
      <c r="C26" s="577">
        <v>0.7</v>
      </c>
      <c r="D26" s="500"/>
    </row>
    <row r="27" spans="1:4" x14ac:dyDescent="0.3">
      <c r="A27" s="541" t="s">
        <v>437</v>
      </c>
      <c r="B27" s="541">
        <v>3727.3249999999966</v>
      </c>
      <c r="C27" s="578">
        <v>0.57999999999999996</v>
      </c>
      <c r="D27" s="500"/>
    </row>
    <row r="28" spans="1:4" x14ac:dyDescent="0.3">
      <c r="A28" s="539" t="s">
        <v>438</v>
      </c>
      <c r="B28" s="539">
        <v>3869.3180000000002</v>
      </c>
      <c r="C28" s="577">
        <v>0.67</v>
      </c>
      <c r="D28" s="500"/>
    </row>
    <row r="29" spans="1:4" x14ac:dyDescent="0.3">
      <c r="A29" s="541" t="s">
        <v>439</v>
      </c>
      <c r="B29" s="541">
        <v>3940.3149999999955</v>
      </c>
      <c r="C29" s="578">
        <v>0.6</v>
      </c>
      <c r="D29" s="500"/>
    </row>
    <row r="30" spans="1:4" x14ac:dyDescent="0.3">
      <c r="A30" s="539" t="s">
        <v>440</v>
      </c>
      <c r="B30" s="539">
        <v>3620.8299999999963</v>
      </c>
      <c r="C30" s="577">
        <v>0.59</v>
      </c>
      <c r="D30" s="500"/>
    </row>
    <row r="31" spans="1:4" x14ac:dyDescent="0.3">
      <c r="A31" s="541" t="s">
        <v>441</v>
      </c>
      <c r="B31" s="541">
        <v>3833.8199999999965</v>
      </c>
      <c r="C31" s="578">
        <v>0.62</v>
      </c>
      <c r="D31" s="500"/>
    </row>
    <row r="32" spans="1:4" ht="15" customHeight="1" x14ac:dyDescent="0.3">
      <c r="A32" s="579" t="s">
        <v>606</v>
      </c>
      <c r="B32" s="580">
        <f>SUM(B8:B31)</f>
        <v>85196.000999999975</v>
      </c>
      <c r="C32" s="581">
        <f>SUMPRODUCT(C8:C31,B8:B31)/'Side Calc. - WDGS'!$B32</f>
        <v>0.64998333349003079</v>
      </c>
      <c r="D32" s="500"/>
    </row>
    <row r="33" spans="2:15" ht="15" customHeight="1" x14ac:dyDescent="0.3">
      <c r="B33" s="498"/>
      <c r="C33" s="498"/>
      <c r="D33" s="706"/>
      <c r="E33" s="706"/>
      <c r="F33" s="498"/>
      <c r="G33" s="498"/>
      <c r="H33" s="498"/>
      <c r="I33" s="498"/>
      <c r="J33" s="498"/>
      <c r="K33" s="498"/>
      <c r="L33" s="498"/>
      <c r="O33" s="500"/>
    </row>
  </sheetData>
  <mergeCells count="1">
    <mergeCell ref="D33:E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450C-7184-4926-A958-31AAC60C04C0}">
  <dimension ref="A1:O33"/>
  <sheetViews>
    <sheetView topLeftCell="A2" workbookViewId="0">
      <selection activeCell="E23" sqref="E23"/>
    </sheetView>
  </sheetViews>
  <sheetFormatPr defaultColWidth="8.6640625" defaultRowHeight="14.4" x14ac:dyDescent="0.3"/>
  <cols>
    <col min="1" max="1" width="72.88671875" bestFit="1" customWidth="1"/>
    <col min="2" max="2" width="36.88671875" bestFit="1" customWidth="1"/>
    <col min="3" max="3" width="48.6640625" bestFit="1" customWidth="1"/>
    <col min="4" max="4" width="30.44140625" bestFit="1" customWidth="1"/>
  </cols>
  <sheetData>
    <row r="1" spans="1:5" x14ac:dyDescent="0.3">
      <c r="A1" s="347"/>
    </row>
    <row r="2" spans="1:5" x14ac:dyDescent="0.3">
      <c r="A2" s="96" t="s">
        <v>735</v>
      </c>
    </row>
    <row r="3" spans="1:5" x14ac:dyDescent="0.3">
      <c r="A3" s="96" t="s">
        <v>736</v>
      </c>
    </row>
    <row r="5" spans="1:5" x14ac:dyDescent="0.3">
      <c r="B5" s="47" t="s">
        <v>737</v>
      </c>
      <c r="C5" s="36" t="s">
        <v>559</v>
      </c>
      <c r="D5" s="132" t="s">
        <v>739</v>
      </c>
    </row>
    <row r="7" spans="1:5" x14ac:dyDescent="0.3">
      <c r="A7" s="545" t="s">
        <v>740</v>
      </c>
      <c r="B7" s="545" t="s">
        <v>766</v>
      </c>
      <c r="C7" s="546" t="s">
        <v>767</v>
      </c>
      <c r="D7" s="501"/>
      <c r="E7" s="499"/>
    </row>
    <row r="8" spans="1:5" x14ac:dyDescent="0.3">
      <c r="A8" s="539" t="s">
        <v>418</v>
      </c>
      <c r="B8" s="539">
        <v>5003.3130000000001</v>
      </c>
      <c r="C8" s="577">
        <v>0.11</v>
      </c>
      <c r="D8" s="500"/>
    </row>
    <row r="9" spans="1:5" x14ac:dyDescent="0.3">
      <c r="A9" s="541" t="s">
        <v>419</v>
      </c>
      <c r="B9" s="541">
        <v>5297.625</v>
      </c>
      <c r="C9" s="578">
        <v>0.09</v>
      </c>
      <c r="D9" s="500"/>
    </row>
    <row r="10" spans="1:5" x14ac:dyDescent="0.3">
      <c r="A10" s="539" t="s">
        <v>420</v>
      </c>
      <c r="B10" s="539">
        <v>5709.6629999999996</v>
      </c>
      <c r="C10" s="577">
        <v>0.13</v>
      </c>
      <c r="D10" s="500"/>
    </row>
    <row r="11" spans="1:5" x14ac:dyDescent="0.3">
      <c r="A11" s="541" t="s">
        <v>421</v>
      </c>
      <c r="B11" s="541">
        <v>5827.3879999999999</v>
      </c>
      <c r="C11" s="578">
        <v>7.0000000000000007E-2</v>
      </c>
      <c r="D11" s="500"/>
    </row>
    <row r="12" spans="1:5" x14ac:dyDescent="0.3">
      <c r="A12" s="539" t="s">
        <v>422</v>
      </c>
      <c r="B12" s="539">
        <v>5121.0379999999996</v>
      </c>
      <c r="C12" s="577">
        <v>0.08</v>
      </c>
      <c r="D12" s="500"/>
    </row>
    <row r="13" spans="1:5" x14ac:dyDescent="0.3">
      <c r="A13" s="541" t="s">
        <v>423</v>
      </c>
      <c r="B13" s="541">
        <v>5062.1750000000002</v>
      </c>
      <c r="C13" s="578">
        <v>0.16</v>
      </c>
      <c r="D13" s="500"/>
    </row>
    <row r="14" spans="1:5" x14ac:dyDescent="0.3">
      <c r="A14" s="539" t="s">
        <v>424</v>
      </c>
      <c r="B14" s="539">
        <v>5474.2129999999997</v>
      </c>
      <c r="C14" s="577">
        <v>0.16</v>
      </c>
      <c r="D14" s="500"/>
    </row>
    <row r="15" spans="1:5" x14ac:dyDescent="0.3">
      <c r="A15" s="541" t="s">
        <v>425</v>
      </c>
      <c r="B15" s="541">
        <v>5591.9380000000001</v>
      </c>
      <c r="C15" s="578">
        <v>0.14000000000000001</v>
      </c>
      <c r="D15" s="500"/>
    </row>
    <row r="16" spans="1:5" x14ac:dyDescent="0.3">
      <c r="A16" s="539" t="s">
        <v>426</v>
      </c>
      <c r="B16" s="539">
        <v>5356.4880000000003</v>
      </c>
      <c r="C16" s="577">
        <v>0.12</v>
      </c>
      <c r="D16" s="500"/>
    </row>
    <row r="17" spans="1:4" x14ac:dyDescent="0.3">
      <c r="A17" s="541" t="s">
        <v>427</v>
      </c>
      <c r="B17" s="541">
        <v>5238.7629999999999</v>
      </c>
      <c r="C17" s="578">
        <v>0.09</v>
      </c>
      <c r="D17" s="500"/>
    </row>
    <row r="18" spans="1:4" x14ac:dyDescent="0.3">
      <c r="A18" s="539" t="s">
        <v>428</v>
      </c>
      <c r="B18" s="539">
        <v>5768.5249999999996</v>
      </c>
      <c r="C18" s="577">
        <v>0.06</v>
      </c>
      <c r="D18" s="500"/>
    </row>
    <row r="19" spans="1:4" x14ac:dyDescent="0.3">
      <c r="A19" s="541" t="s">
        <v>429</v>
      </c>
      <c r="B19" s="541">
        <v>5415.35</v>
      </c>
      <c r="C19" s="578">
        <v>0.15</v>
      </c>
      <c r="D19" s="500"/>
    </row>
    <row r="20" spans="1:4" x14ac:dyDescent="0.3">
      <c r="A20" s="539" t="s">
        <v>430</v>
      </c>
      <c r="B20" s="539">
        <v>6769.1880000000001</v>
      </c>
      <c r="C20" s="577">
        <v>7.0000000000000007E-2</v>
      </c>
      <c r="D20" s="500"/>
    </row>
    <row r="21" spans="1:4" x14ac:dyDescent="0.3">
      <c r="A21" s="541" t="s">
        <v>431</v>
      </c>
      <c r="B21" s="541">
        <v>6474.8750000000009</v>
      </c>
      <c r="C21" s="578">
        <v>0.1</v>
      </c>
      <c r="D21" s="500"/>
    </row>
    <row r="22" spans="1:4" x14ac:dyDescent="0.3">
      <c r="A22" s="539" t="s">
        <v>432</v>
      </c>
      <c r="B22" s="539">
        <v>6062.8379999999997</v>
      </c>
      <c r="C22" s="577">
        <v>0.11</v>
      </c>
      <c r="D22" s="500"/>
    </row>
    <row r="23" spans="1:4" x14ac:dyDescent="0.3">
      <c r="A23" s="541" t="s">
        <v>433</v>
      </c>
      <c r="B23" s="541">
        <v>5945.1130000000003</v>
      </c>
      <c r="C23" s="578">
        <v>0.05</v>
      </c>
      <c r="D23" s="500"/>
    </row>
    <row r="24" spans="1:4" x14ac:dyDescent="0.3">
      <c r="A24" s="539" t="s">
        <v>434</v>
      </c>
      <c r="B24" s="539">
        <v>6651.4629999999997</v>
      </c>
      <c r="C24" s="577">
        <v>0.1</v>
      </c>
      <c r="D24" s="500"/>
    </row>
    <row r="25" spans="1:4" x14ac:dyDescent="0.3">
      <c r="A25" s="541" t="s">
        <v>435</v>
      </c>
      <c r="B25" s="541">
        <v>6710.3250000000007</v>
      </c>
      <c r="C25" s="578">
        <v>0.14000000000000001</v>
      </c>
      <c r="D25" s="500"/>
    </row>
    <row r="26" spans="1:4" x14ac:dyDescent="0.3">
      <c r="A26" s="539" t="s">
        <v>436</v>
      </c>
      <c r="B26" s="539">
        <v>6298.2879999999996</v>
      </c>
      <c r="C26" s="577">
        <v>0.12</v>
      </c>
      <c r="D26" s="500"/>
    </row>
    <row r="27" spans="1:4" x14ac:dyDescent="0.3">
      <c r="A27" s="541" t="s">
        <v>437</v>
      </c>
      <c r="B27" s="541">
        <v>6180.5630000000001</v>
      </c>
      <c r="C27" s="578">
        <v>0.15</v>
      </c>
      <c r="D27" s="500"/>
    </row>
    <row r="28" spans="1:4" x14ac:dyDescent="0.3">
      <c r="A28" s="539" t="s">
        <v>438</v>
      </c>
      <c r="B28" s="539">
        <v>6416.0129999999999</v>
      </c>
      <c r="C28" s="577">
        <v>0.06</v>
      </c>
      <c r="D28" s="500"/>
    </row>
    <row r="29" spans="1:4" x14ac:dyDescent="0.3">
      <c r="A29" s="541" t="s">
        <v>439</v>
      </c>
      <c r="B29" s="541">
        <v>6533.7380000000003</v>
      </c>
      <c r="C29" s="578">
        <v>0.14000000000000001</v>
      </c>
      <c r="D29" s="500"/>
    </row>
    <row r="30" spans="1:4" x14ac:dyDescent="0.3">
      <c r="A30" s="539" t="s">
        <v>440</v>
      </c>
      <c r="B30" s="539">
        <v>6003.9750000000004</v>
      </c>
      <c r="C30" s="577">
        <v>0.15</v>
      </c>
      <c r="D30" s="500"/>
    </row>
    <row r="31" spans="1:4" x14ac:dyDescent="0.3">
      <c r="A31" s="541" t="s">
        <v>441</v>
      </c>
      <c r="B31" s="541">
        <v>6357.1500000000005</v>
      </c>
      <c r="C31" s="578">
        <v>0.1</v>
      </c>
      <c r="D31" s="500"/>
    </row>
    <row r="32" spans="1:4" ht="15" customHeight="1" x14ac:dyDescent="0.3">
      <c r="A32" s="579" t="s">
        <v>606</v>
      </c>
      <c r="B32" s="580">
        <f>SUM(B8:B31)</f>
        <v>141270.00799999997</v>
      </c>
      <c r="C32" s="581">
        <f>SUMPRODUCT(C8:C31,B8:B31)/'Side Calc. - DDGS'!$B32</f>
        <v>0.10998333312191787</v>
      </c>
      <c r="D32" s="500"/>
    </row>
    <row r="33" spans="2:15" ht="15" customHeight="1" x14ac:dyDescent="0.3">
      <c r="B33" s="498"/>
      <c r="C33" s="498"/>
      <c r="D33" s="706"/>
      <c r="E33" s="706"/>
      <c r="F33" s="498"/>
      <c r="G33" s="498"/>
      <c r="H33" s="498"/>
      <c r="I33" s="498"/>
      <c r="J33" s="498"/>
      <c r="K33" s="498"/>
      <c r="L33" s="498"/>
      <c r="O33" s="500"/>
    </row>
  </sheetData>
  <mergeCells count="1">
    <mergeCell ref="D33:E3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BW73"/>
  <sheetViews>
    <sheetView workbookViewId="0"/>
  </sheetViews>
  <sheetFormatPr defaultColWidth="8.6640625" defaultRowHeight="14.4" x14ac:dyDescent="0.3"/>
  <cols>
    <col min="1" max="1" width="13.5546875" bestFit="1" customWidth="1"/>
    <col min="2" max="2" width="28.109375" bestFit="1" customWidth="1"/>
    <col min="3" max="3" width="28.109375" customWidth="1"/>
    <col min="4" max="4" width="25.5546875" bestFit="1" customWidth="1"/>
    <col min="5" max="7" width="28.109375" customWidth="1"/>
    <col min="8" max="8" width="44.5546875" bestFit="1" customWidth="1"/>
    <col min="9" max="9" width="15.44140625" bestFit="1" customWidth="1"/>
    <col min="10" max="10" width="24" bestFit="1" customWidth="1"/>
    <col min="11" max="12" width="29.88671875" bestFit="1" customWidth="1"/>
    <col min="13" max="13" width="23.33203125" customWidth="1"/>
    <col min="14" max="14" width="36.5546875" bestFit="1" customWidth="1"/>
    <col min="15" max="15" width="28.109375" customWidth="1"/>
    <col min="16" max="16" width="35.5546875" customWidth="1"/>
    <col min="17" max="17" width="28.109375" customWidth="1"/>
    <col min="18" max="18" width="42.109375" customWidth="1"/>
    <col min="19" max="19" width="43" customWidth="1"/>
    <col min="20" max="20" width="39.88671875" customWidth="1"/>
    <col min="21" max="21" width="39.88671875" bestFit="1" customWidth="1"/>
    <col min="22" max="22" width="28.5546875" bestFit="1" customWidth="1"/>
    <col min="23" max="23" width="35.6640625" bestFit="1" customWidth="1"/>
    <col min="24" max="24" width="20.5546875" bestFit="1" customWidth="1"/>
    <col min="28" max="28" width="41.5546875" bestFit="1" customWidth="1"/>
    <col min="29" max="29" width="18.88671875" bestFit="1" customWidth="1"/>
    <col min="30" max="30" width="31.88671875" bestFit="1" customWidth="1"/>
    <col min="31" max="31" width="26.5546875" bestFit="1" customWidth="1"/>
    <col min="32" max="32" width="29.109375" customWidth="1"/>
    <col min="33" max="33" width="27.44140625" customWidth="1"/>
    <col min="34" max="34" width="19.88671875" bestFit="1" customWidth="1"/>
    <col min="35" max="35" width="28.5546875" customWidth="1"/>
    <col min="36" max="36" width="27.5546875" bestFit="1" customWidth="1"/>
    <col min="37" max="37" width="31.109375" bestFit="1" customWidth="1"/>
    <col min="38" max="38" width="28.33203125" customWidth="1"/>
    <col min="39" max="39" width="19" bestFit="1" customWidth="1"/>
    <col min="40" max="41" width="27.88671875" customWidth="1"/>
    <col min="42" max="43" width="26" bestFit="1" customWidth="1"/>
    <col min="44" max="44" width="18.5546875" bestFit="1" customWidth="1"/>
  </cols>
  <sheetData>
    <row r="1" spans="1:44" x14ac:dyDescent="0.3">
      <c r="A1" s="347"/>
    </row>
    <row r="4" spans="1:44" x14ac:dyDescent="0.3">
      <c r="A4" s="6" t="s">
        <v>768</v>
      </c>
      <c r="B4" s="6" t="s">
        <v>769</v>
      </c>
      <c r="C4" s="6" t="s">
        <v>770</v>
      </c>
      <c r="D4" s="6" t="s">
        <v>771</v>
      </c>
      <c r="E4" s="6" t="s">
        <v>772</v>
      </c>
      <c r="F4" s="6" t="s">
        <v>773</v>
      </c>
      <c r="G4" s="6" t="s">
        <v>774</v>
      </c>
      <c r="H4" s="6" t="s">
        <v>775</v>
      </c>
      <c r="I4" s="6" t="s">
        <v>776</v>
      </c>
      <c r="J4" s="6" t="s">
        <v>777</v>
      </c>
      <c r="K4" s="6" t="s">
        <v>778</v>
      </c>
      <c r="L4" s="6" t="s">
        <v>157</v>
      </c>
      <c r="M4" s="6" t="s">
        <v>779</v>
      </c>
      <c r="N4" s="6" t="s">
        <v>208</v>
      </c>
      <c r="O4" s="6" t="s">
        <v>780</v>
      </c>
      <c r="P4" s="6" t="s">
        <v>205</v>
      </c>
      <c r="Q4" s="6" t="s">
        <v>781</v>
      </c>
      <c r="R4" s="6" t="s">
        <v>782</v>
      </c>
      <c r="S4" s="6" t="s">
        <v>783</v>
      </c>
      <c r="T4" s="6" t="s">
        <v>784</v>
      </c>
      <c r="U4" s="6" t="s">
        <v>785</v>
      </c>
      <c r="V4" s="6" t="s">
        <v>786</v>
      </c>
      <c r="W4" s="6" t="s">
        <v>787</v>
      </c>
      <c r="X4" s="6" t="s">
        <v>788</v>
      </c>
      <c r="Y4" s="6" t="s">
        <v>789</v>
      </c>
      <c r="Z4" s="6" t="s">
        <v>445</v>
      </c>
      <c r="AA4" s="6" t="s">
        <v>790</v>
      </c>
      <c r="AB4" s="6" t="s">
        <v>791</v>
      </c>
      <c r="AC4" s="6" t="s">
        <v>184</v>
      </c>
      <c r="AD4" s="6" t="s">
        <v>792</v>
      </c>
      <c r="AE4" s="6" t="s">
        <v>793</v>
      </c>
      <c r="AF4" s="6" t="s">
        <v>794</v>
      </c>
      <c r="AG4" s="6" t="s">
        <v>795</v>
      </c>
      <c r="AH4" s="6" t="s">
        <v>796</v>
      </c>
      <c r="AI4" s="6" t="s">
        <v>797</v>
      </c>
      <c r="AJ4" s="6" t="s">
        <v>798</v>
      </c>
      <c r="AK4" s="6" t="s">
        <v>799</v>
      </c>
      <c r="AL4" s="6" t="s">
        <v>800</v>
      </c>
      <c r="AM4" s="6" t="s">
        <v>269</v>
      </c>
      <c r="AN4" s="6" t="s">
        <v>801</v>
      </c>
      <c r="AO4" s="6" t="s">
        <v>802</v>
      </c>
      <c r="AP4" s="6" t="s">
        <v>803</v>
      </c>
      <c r="AQ4" s="6" t="s">
        <v>803</v>
      </c>
      <c r="AR4" s="6" t="s">
        <v>282</v>
      </c>
    </row>
    <row r="5" spans="1:44" s="357" customFormat="1" x14ac:dyDescent="0.3">
      <c r="A5" s="356" t="s">
        <v>52</v>
      </c>
      <c r="B5" s="356" t="s">
        <v>52</v>
      </c>
      <c r="C5" s="356" t="s">
        <v>52</v>
      </c>
      <c r="D5" s="356" t="s">
        <v>804</v>
      </c>
      <c r="E5" s="356" t="s">
        <v>647</v>
      </c>
      <c r="F5" s="356" t="s">
        <v>647</v>
      </c>
      <c r="G5" s="356" t="s">
        <v>647</v>
      </c>
      <c r="H5" s="356" t="s">
        <v>391</v>
      </c>
      <c r="I5" s="356" t="s">
        <v>52</v>
      </c>
      <c r="J5" s="59" t="s">
        <v>358</v>
      </c>
      <c r="K5" s="59" t="s">
        <v>358</v>
      </c>
      <c r="L5" s="356" t="s">
        <v>51</v>
      </c>
      <c r="M5" s="356" t="s">
        <v>805</v>
      </c>
      <c r="N5" s="356" t="s">
        <v>806</v>
      </c>
      <c r="O5" s="356" t="s">
        <v>647</v>
      </c>
      <c r="P5" s="23" t="s">
        <v>644</v>
      </c>
      <c r="Q5" s="356" t="s">
        <v>647</v>
      </c>
      <c r="R5" s="356" t="s">
        <v>807</v>
      </c>
      <c r="S5" s="356" t="s">
        <v>624</v>
      </c>
      <c r="T5" s="356" t="s">
        <v>808</v>
      </c>
      <c r="U5" s="356" t="s">
        <v>809</v>
      </c>
      <c r="V5" s="356" t="s">
        <v>638</v>
      </c>
      <c r="W5" s="356" t="s">
        <v>810</v>
      </c>
      <c r="X5" s="356" t="s">
        <v>811</v>
      </c>
      <c r="Y5" s="357" t="s">
        <v>812</v>
      </c>
      <c r="Z5" s="357" t="s">
        <v>681</v>
      </c>
      <c r="AA5" s="357" t="s">
        <v>681</v>
      </c>
      <c r="AB5" s="356" t="s">
        <v>813</v>
      </c>
      <c r="AC5" s="356" t="s">
        <v>814</v>
      </c>
      <c r="AD5" s="356" t="s">
        <v>808</v>
      </c>
      <c r="AE5" s="356" t="s">
        <v>815</v>
      </c>
      <c r="AF5" s="356" t="s">
        <v>816</v>
      </c>
      <c r="AG5" s="356" t="s">
        <v>52</v>
      </c>
      <c r="AH5" s="356" t="s">
        <v>52</v>
      </c>
      <c r="AI5" s="356" t="s">
        <v>727</v>
      </c>
      <c r="AJ5" s="356" t="s">
        <v>817</v>
      </c>
      <c r="AK5" s="356" t="s">
        <v>807</v>
      </c>
      <c r="AL5" s="356" t="s">
        <v>806</v>
      </c>
      <c r="AM5" s="358" t="s">
        <v>818</v>
      </c>
      <c r="AN5" s="358" t="s">
        <v>819</v>
      </c>
      <c r="AO5" s="358" t="s">
        <v>820</v>
      </c>
      <c r="AP5" s="358" t="s">
        <v>821</v>
      </c>
      <c r="AQ5" s="358" t="s">
        <v>821</v>
      </c>
      <c r="AR5" s="358" t="s">
        <v>822</v>
      </c>
    </row>
    <row r="6" spans="1:44" x14ac:dyDescent="0.3">
      <c r="A6" t="s">
        <v>823</v>
      </c>
      <c r="B6" t="s">
        <v>378</v>
      </c>
      <c r="C6" t="s">
        <v>710</v>
      </c>
      <c r="D6" t="s">
        <v>33</v>
      </c>
      <c r="E6" t="s">
        <v>367</v>
      </c>
      <c r="F6" t="s">
        <v>367</v>
      </c>
      <c r="G6" t="s">
        <v>367</v>
      </c>
      <c r="H6" t="s">
        <v>824</v>
      </c>
      <c r="I6" t="s">
        <v>409</v>
      </c>
      <c r="J6" s="3" t="s">
        <v>825</v>
      </c>
      <c r="K6" t="s">
        <v>164</v>
      </c>
      <c r="L6" t="s">
        <v>163</v>
      </c>
      <c r="M6" t="s">
        <v>163</v>
      </c>
      <c r="N6" s="357" t="s">
        <v>226</v>
      </c>
      <c r="O6" t="s">
        <v>367</v>
      </c>
      <c r="P6" t="s">
        <v>180</v>
      </c>
      <c r="Q6" t="s">
        <v>367</v>
      </c>
      <c r="R6" t="s">
        <v>615</v>
      </c>
      <c r="S6" t="s">
        <v>826</v>
      </c>
      <c r="T6" t="s">
        <v>827</v>
      </c>
      <c r="U6" t="s">
        <v>615</v>
      </c>
      <c r="V6" s="357" t="s">
        <v>828</v>
      </c>
      <c r="W6" t="s">
        <v>829</v>
      </c>
      <c r="X6" t="s">
        <v>830</v>
      </c>
      <c r="Y6" t="s">
        <v>831</v>
      </c>
      <c r="Z6" s="51" t="s">
        <v>832</v>
      </c>
      <c r="AA6" s="51" t="s">
        <v>833</v>
      </c>
      <c r="AB6" s="357" t="s">
        <v>834</v>
      </c>
      <c r="AC6" t="s">
        <v>530</v>
      </c>
      <c r="AD6" t="s">
        <v>835</v>
      </c>
      <c r="AE6" s="357" t="s">
        <v>836</v>
      </c>
      <c r="AF6" t="s">
        <v>226</v>
      </c>
      <c r="AG6" t="s">
        <v>378</v>
      </c>
      <c r="AH6" t="s">
        <v>837</v>
      </c>
      <c r="AI6" t="s">
        <v>824</v>
      </c>
      <c r="AJ6" t="s">
        <v>176</v>
      </c>
      <c r="AK6" t="s">
        <v>615</v>
      </c>
      <c r="AL6" t="s">
        <v>226</v>
      </c>
      <c r="AM6" s="293" t="s">
        <v>272</v>
      </c>
      <c r="AN6" s="293" t="s">
        <v>838</v>
      </c>
      <c r="AO6" s="293" t="s">
        <v>311</v>
      </c>
      <c r="AP6" s="293" t="s">
        <v>839</v>
      </c>
      <c r="AQ6" s="293" t="s">
        <v>839</v>
      </c>
      <c r="AR6" s="293" t="s">
        <v>285</v>
      </c>
    </row>
    <row r="7" spans="1:44" x14ac:dyDescent="0.3">
      <c r="A7" t="s">
        <v>49</v>
      </c>
      <c r="B7" t="s">
        <v>400</v>
      </c>
      <c r="C7" t="s">
        <v>840</v>
      </c>
      <c r="D7" t="s">
        <v>841</v>
      </c>
      <c r="E7" t="s">
        <v>842</v>
      </c>
      <c r="F7" t="s">
        <v>843</v>
      </c>
      <c r="G7" t="s">
        <v>842</v>
      </c>
      <c r="H7" t="s">
        <v>844</v>
      </c>
      <c r="I7" t="s">
        <v>845</v>
      </c>
      <c r="J7" s="3" t="s">
        <v>143</v>
      </c>
      <c r="K7" t="s">
        <v>846</v>
      </c>
      <c r="L7" t="s">
        <v>164</v>
      </c>
      <c r="M7" t="s">
        <v>36</v>
      </c>
      <c r="N7" s="357" t="s">
        <v>228</v>
      </c>
      <c r="O7" t="s">
        <v>843</v>
      </c>
      <c r="P7" t="s">
        <v>182</v>
      </c>
      <c r="Q7" t="s">
        <v>843</v>
      </c>
      <c r="R7" s="357" t="s">
        <v>637</v>
      </c>
      <c r="S7" t="s">
        <v>847</v>
      </c>
      <c r="T7" t="s">
        <v>848</v>
      </c>
      <c r="U7" t="s">
        <v>849</v>
      </c>
      <c r="V7" s="357" t="s">
        <v>850</v>
      </c>
      <c r="W7" t="s">
        <v>851</v>
      </c>
      <c r="X7" t="s">
        <v>852</v>
      </c>
      <c r="Z7" s="51" t="s">
        <v>853</v>
      </c>
      <c r="AA7" s="51" t="s">
        <v>99</v>
      </c>
      <c r="AB7" s="357" t="s">
        <v>854</v>
      </c>
      <c r="AC7" t="s">
        <v>202</v>
      </c>
      <c r="AE7" t="s">
        <v>855</v>
      </c>
      <c r="AF7" t="s">
        <v>228</v>
      </c>
      <c r="AG7" t="s">
        <v>856</v>
      </c>
      <c r="AH7" t="s">
        <v>857</v>
      </c>
      <c r="AI7" t="s">
        <v>844</v>
      </c>
      <c r="AJ7" t="s">
        <v>178</v>
      </c>
      <c r="AK7" s="357" t="s">
        <v>858</v>
      </c>
      <c r="AL7" t="s">
        <v>228</v>
      </c>
      <c r="AM7" s="293" t="s">
        <v>273</v>
      </c>
      <c r="AN7" s="293" t="s">
        <v>859</v>
      </c>
      <c r="AO7" s="293" t="s">
        <v>312</v>
      </c>
      <c r="AP7" s="293" t="s">
        <v>860</v>
      </c>
      <c r="AQ7" s="293" t="s">
        <v>861</v>
      </c>
      <c r="AR7" s="293" t="s">
        <v>284</v>
      </c>
    </row>
    <row r="8" spans="1:44" x14ac:dyDescent="0.3">
      <c r="B8" t="s">
        <v>862</v>
      </c>
      <c r="E8" t="s">
        <v>863</v>
      </c>
      <c r="F8" t="s">
        <v>863</v>
      </c>
      <c r="G8" t="s">
        <v>843</v>
      </c>
      <c r="J8" s="3" t="s">
        <v>130</v>
      </c>
      <c r="K8" s="3" t="s">
        <v>864</v>
      </c>
      <c r="L8" t="s">
        <v>36</v>
      </c>
      <c r="M8" t="s">
        <v>201</v>
      </c>
      <c r="N8" t="s">
        <v>220</v>
      </c>
      <c r="O8" t="s">
        <v>865</v>
      </c>
      <c r="P8" t="s">
        <v>866</v>
      </c>
      <c r="Q8" t="s">
        <v>867</v>
      </c>
      <c r="R8" t="s">
        <v>868</v>
      </c>
      <c r="S8" t="s">
        <v>869</v>
      </c>
      <c r="T8" t="s">
        <v>870</v>
      </c>
      <c r="U8" t="s">
        <v>871</v>
      </c>
      <c r="V8" t="s">
        <v>872</v>
      </c>
      <c r="W8" t="s">
        <v>216</v>
      </c>
      <c r="X8" t="s">
        <v>873</v>
      </c>
      <c r="Z8" s="51" t="s">
        <v>874</v>
      </c>
      <c r="AA8" s="51" t="s">
        <v>96</v>
      </c>
      <c r="AB8" s="357" t="s">
        <v>654</v>
      </c>
      <c r="AC8" t="s">
        <v>138</v>
      </c>
      <c r="AE8" t="s">
        <v>875</v>
      </c>
      <c r="AF8" t="s">
        <v>230</v>
      </c>
      <c r="AH8" t="s">
        <v>713</v>
      </c>
      <c r="AJ8" t="s">
        <v>172</v>
      </c>
      <c r="AK8" t="s">
        <v>868</v>
      </c>
      <c r="AL8" t="s">
        <v>230</v>
      </c>
      <c r="AM8" s="293" t="s">
        <v>274</v>
      </c>
      <c r="AN8" s="293"/>
      <c r="AO8" s="293" t="s">
        <v>313</v>
      </c>
      <c r="AP8" s="293"/>
      <c r="AQ8" s="293"/>
      <c r="AR8" s="293"/>
    </row>
    <row r="9" spans="1:44" x14ac:dyDescent="0.3">
      <c r="F9" s="3" t="s">
        <v>876</v>
      </c>
      <c r="J9" s="3" t="s">
        <v>133</v>
      </c>
      <c r="K9" t="s">
        <v>226</v>
      </c>
      <c r="L9" t="s">
        <v>180</v>
      </c>
      <c r="M9" t="s">
        <v>877</v>
      </c>
      <c r="N9" s="489" t="s">
        <v>221</v>
      </c>
      <c r="O9" s="3" t="s">
        <v>876</v>
      </c>
      <c r="P9" s="490" t="s">
        <v>878</v>
      </c>
      <c r="Q9" s="3" t="s">
        <v>876</v>
      </c>
      <c r="S9" t="s">
        <v>879</v>
      </c>
      <c r="T9" t="s">
        <v>880</v>
      </c>
      <c r="V9" t="s">
        <v>881</v>
      </c>
      <c r="W9" t="s">
        <v>218</v>
      </c>
      <c r="X9" t="s">
        <v>882</v>
      </c>
      <c r="Z9" s="51" t="s">
        <v>883</v>
      </c>
      <c r="AA9" s="51" t="s">
        <v>106</v>
      </c>
      <c r="AB9" s="357"/>
      <c r="AC9" t="s">
        <v>197</v>
      </c>
      <c r="AE9" t="s">
        <v>884</v>
      </c>
      <c r="AF9" s="357" t="s">
        <v>231</v>
      </c>
      <c r="AJ9" t="s">
        <v>175</v>
      </c>
      <c r="AL9" s="357" t="s">
        <v>231</v>
      </c>
      <c r="AM9" s="293" t="s">
        <v>275</v>
      </c>
      <c r="AN9" s="293"/>
      <c r="AO9" s="293" t="s">
        <v>314</v>
      </c>
      <c r="AP9" s="293"/>
      <c r="AQ9" s="293"/>
      <c r="AR9" s="293"/>
    </row>
    <row r="10" spans="1:44" x14ac:dyDescent="0.3">
      <c r="J10" s="3" t="s">
        <v>138</v>
      </c>
      <c r="K10" t="s">
        <v>228</v>
      </c>
      <c r="L10" t="s">
        <v>182</v>
      </c>
      <c r="M10" t="s">
        <v>164</v>
      </c>
      <c r="N10" s="489" t="s">
        <v>222</v>
      </c>
      <c r="P10" s="136" t="s">
        <v>885</v>
      </c>
      <c r="R10" s="55"/>
      <c r="S10" t="s">
        <v>639</v>
      </c>
      <c r="T10" t="s">
        <v>886</v>
      </c>
      <c r="V10" t="s">
        <v>887</v>
      </c>
      <c r="W10" t="s">
        <v>219</v>
      </c>
      <c r="X10" t="s">
        <v>888</v>
      </c>
      <c r="Z10" s="51" t="s">
        <v>889</v>
      </c>
      <c r="AA10" s="51" t="s">
        <v>97</v>
      </c>
      <c r="AC10" t="s">
        <v>199</v>
      </c>
      <c r="AF10" s="490" t="s">
        <v>878</v>
      </c>
      <c r="AJ10" t="s">
        <v>180</v>
      </c>
      <c r="AL10" t="s">
        <v>220</v>
      </c>
      <c r="AM10" s="293" t="s">
        <v>276</v>
      </c>
      <c r="AN10" s="293"/>
      <c r="AO10" s="293" t="s">
        <v>315</v>
      </c>
      <c r="AP10" s="293"/>
      <c r="AQ10" s="293"/>
      <c r="AR10" s="293"/>
    </row>
    <row r="11" spans="1:44" x14ac:dyDescent="0.3">
      <c r="J11" s="3" t="s">
        <v>890</v>
      </c>
      <c r="K11" t="s">
        <v>176</v>
      </c>
      <c r="L11" t="s">
        <v>891</v>
      </c>
      <c r="M11" t="s">
        <v>846</v>
      </c>
      <c r="N11" s="489" t="s">
        <v>224</v>
      </c>
      <c r="P11" s="136" t="s">
        <v>892</v>
      </c>
      <c r="S11" s="357" t="s">
        <v>893</v>
      </c>
      <c r="T11" t="s">
        <v>894</v>
      </c>
      <c r="V11" t="s">
        <v>895</v>
      </c>
      <c r="W11" t="s">
        <v>220</v>
      </c>
      <c r="Z11" s="51" t="s">
        <v>896</v>
      </c>
      <c r="AA11" s="51" t="s">
        <v>101</v>
      </c>
      <c r="AC11" t="s">
        <v>200</v>
      </c>
      <c r="AF11" s="357" t="s">
        <v>176</v>
      </c>
      <c r="AJ11" t="s">
        <v>182</v>
      </c>
      <c r="AL11" s="489" t="s">
        <v>221</v>
      </c>
      <c r="AM11" s="293" t="s">
        <v>277</v>
      </c>
      <c r="AN11" s="293"/>
      <c r="AO11" s="293" t="s">
        <v>316</v>
      </c>
      <c r="AP11" s="293"/>
      <c r="AQ11" s="293"/>
      <c r="AR11" s="293"/>
    </row>
    <row r="12" spans="1:44" x14ac:dyDescent="0.3">
      <c r="J12" s="3" t="s">
        <v>136</v>
      </c>
      <c r="K12" t="s">
        <v>178</v>
      </c>
      <c r="L12" t="s">
        <v>897</v>
      </c>
      <c r="M12" t="s">
        <v>898</v>
      </c>
      <c r="N12" s="489" t="s">
        <v>235</v>
      </c>
      <c r="P12" s="136" t="s">
        <v>899</v>
      </c>
      <c r="R12" s="55"/>
      <c r="S12" t="s">
        <v>900</v>
      </c>
      <c r="T12" s="491" t="s">
        <v>901</v>
      </c>
      <c r="V12" t="s">
        <v>902</v>
      </c>
      <c r="W12" t="s">
        <v>222</v>
      </c>
      <c r="Z12" s="51" t="s">
        <v>903</v>
      </c>
      <c r="AA12" s="51" t="s">
        <v>98</v>
      </c>
      <c r="AC12" t="s">
        <v>195</v>
      </c>
      <c r="AF12" s="357" t="s">
        <v>178</v>
      </c>
      <c r="AL12" s="489" t="s">
        <v>222</v>
      </c>
      <c r="AM12" s="293" t="s">
        <v>278</v>
      </c>
      <c r="AN12" s="293"/>
      <c r="AO12" s="293" t="s">
        <v>317</v>
      </c>
      <c r="AP12" s="293"/>
      <c r="AQ12" s="293"/>
      <c r="AR12" s="293"/>
    </row>
    <row r="13" spans="1:44" x14ac:dyDescent="0.3">
      <c r="J13" s="3" t="s">
        <v>904</v>
      </c>
      <c r="K13" t="s">
        <v>905</v>
      </c>
      <c r="L13" t="s">
        <v>906</v>
      </c>
      <c r="N13" s="489" t="s">
        <v>907</v>
      </c>
      <c r="P13" s="136" t="s">
        <v>908</v>
      </c>
      <c r="S13" t="s">
        <v>909</v>
      </c>
      <c r="T13" s="491" t="s">
        <v>910</v>
      </c>
      <c r="V13" t="s">
        <v>911</v>
      </c>
      <c r="W13" t="s">
        <v>912</v>
      </c>
      <c r="Z13" s="51" t="s">
        <v>68</v>
      </c>
      <c r="AA13" s="51" t="s">
        <v>102</v>
      </c>
      <c r="AC13" t="s">
        <v>913</v>
      </c>
      <c r="AF13" s="492" t="s">
        <v>172</v>
      </c>
      <c r="AL13" s="489" t="s">
        <v>224</v>
      </c>
      <c r="AM13" s="293" t="s">
        <v>279</v>
      </c>
      <c r="AN13" s="293"/>
      <c r="AO13" s="293" t="s">
        <v>318</v>
      </c>
      <c r="AP13" s="293"/>
      <c r="AQ13" s="293"/>
      <c r="AR13" s="293"/>
    </row>
    <row r="14" spans="1:44" x14ac:dyDescent="0.3">
      <c r="J14" s="3" t="s">
        <v>145</v>
      </c>
      <c r="K14" s="493" t="s">
        <v>914</v>
      </c>
      <c r="L14" t="s">
        <v>172</v>
      </c>
      <c r="N14" s="490" t="s">
        <v>878</v>
      </c>
      <c r="P14" s="136" t="s">
        <v>915</v>
      </c>
      <c r="T14" s="491" t="s">
        <v>916</v>
      </c>
      <c r="V14" t="s">
        <v>917</v>
      </c>
      <c r="W14" t="s">
        <v>918</v>
      </c>
      <c r="Z14" s="51" t="s">
        <v>919</v>
      </c>
      <c r="AA14" s="51" t="s">
        <v>920</v>
      </c>
      <c r="AC14" t="s">
        <v>921</v>
      </c>
      <c r="AF14" s="492" t="s">
        <v>175</v>
      </c>
      <c r="AL14" s="489" t="s">
        <v>235</v>
      </c>
      <c r="AM14" s="293" t="s">
        <v>280</v>
      </c>
      <c r="AN14" s="293"/>
      <c r="AO14" s="293" t="s">
        <v>319</v>
      </c>
      <c r="AP14" s="293"/>
      <c r="AQ14" s="293"/>
      <c r="AR14" s="293"/>
    </row>
    <row r="15" spans="1:44" x14ac:dyDescent="0.3">
      <c r="J15" s="3" t="s">
        <v>922</v>
      </c>
      <c r="L15" t="s">
        <v>175</v>
      </c>
      <c r="N15" s="357" t="s">
        <v>213</v>
      </c>
      <c r="P15" s="136" t="s">
        <v>923</v>
      </c>
      <c r="V15" t="s">
        <v>924</v>
      </c>
      <c r="W15" t="s">
        <v>925</v>
      </c>
      <c r="Z15" s="51" t="s">
        <v>926</v>
      </c>
      <c r="AA15" s="51" t="s">
        <v>927</v>
      </c>
      <c r="AC15" t="s">
        <v>928</v>
      </c>
      <c r="AF15" s="494" t="s">
        <v>878</v>
      </c>
      <c r="AL15" s="489" t="s">
        <v>225</v>
      </c>
      <c r="AM15" s="293"/>
      <c r="AN15" s="293"/>
      <c r="AO15" s="293" t="s">
        <v>320</v>
      </c>
      <c r="AP15" s="293"/>
      <c r="AQ15" s="293"/>
      <c r="AR15" s="293"/>
    </row>
    <row r="16" spans="1:44" x14ac:dyDescent="0.3">
      <c r="J16" s="3" t="s">
        <v>135</v>
      </c>
      <c r="L16" t="s">
        <v>176</v>
      </c>
      <c r="N16" s="492" t="s">
        <v>929</v>
      </c>
      <c r="P16" s="136" t="s">
        <v>930</v>
      </c>
      <c r="V16" t="s">
        <v>620</v>
      </c>
      <c r="W16" t="s">
        <v>931</v>
      </c>
      <c r="Z16" s="51" t="s">
        <v>69</v>
      </c>
      <c r="AA16" s="51" t="s">
        <v>932</v>
      </c>
      <c r="AC16" t="s">
        <v>933</v>
      </c>
      <c r="AF16" s="489" t="s">
        <v>180</v>
      </c>
      <c r="AL16" s="490" t="s">
        <v>878</v>
      </c>
      <c r="AM16" s="293"/>
      <c r="AN16" s="293"/>
      <c r="AO16" s="293" t="s">
        <v>321</v>
      </c>
      <c r="AP16" s="293"/>
      <c r="AQ16" s="293"/>
      <c r="AR16" s="293"/>
    </row>
    <row r="17" spans="10:75" x14ac:dyDescent="0.3">
      <c r="J17" s="3" t="s">
        <v>934</v>
      </c>
      <c r="L17" t="s">
        <v>178</v>
      </c>
      <c r="N17" s="492" t="s">
        <v>36</v>
      </c>
      <c r="P17" s="136" t="s">
        <v>935</v>
      </c>
      <c r="V17" t="s">
        <v>936</v>
      </c>
      <c r="W17" t="s">
        <v>937</v>
      </c>
      <c r="Z17" s="51" t="s">
        <v>938</v>
      </c>
      <c r="AA17" s="51" t="s">
        <v>939</v>
      </c>
      <c r="AC17" t="s">
        <v>940</v>
      </c>
      <c r="AF17" s="489" t="s">
        <v>182</v>
      </c>
      <c r="AL17" s="357" t="s">
        <v>176</v>
      </c>
      <c r="AM17" s="293"/>
      <c r="AN17" s="293"/>
      <c r="AO17" s="293" t="s">
        <v>322</v>
      </c>
      <c r="AP17" s="293"/>
      <c r="AQ17" s="293"/>
      <c r="AR17" s="293"/>
    </row>
    <row r="18" spans="10:75" x14ac:dyDescent="0.3">
      <c r="J18" s="3" t="s">
        <v>141</v>
      </c>
      <c r="L18" t="s">
        <v>169</v>
      </c>
      <c r="N18" s="357" t="s">
        <v>164</v>
      </c>
      <c r="P18" s="136" t="s">
        <v>941</v>
      </c>
      <c r="V18" t="s">
        <v>942</v>
      </c>
      <c r="W18" t="s">
        <v>943</v>
      </c>
      <c r="Z18" s="51" t="s">
        <v>944</v>
      </c>
      <c r="AA18" s="51" t="s">
        <v>100</v>
      </c>
      <c r="AF18" s="494" t="s">
        <v>878</v>
      </c>
      <c r="AL18" s="357" t="s">
        <v>178</v>
      </c>
      <c r="AM18" s="357"/>
      <c r="AN18" s="357"/>
      <c r="AO18" s="357"/>
      <c r="AP18" s="357"/>
      <c r="AQ18" s="357"/>
      <c r="AR18" s="357"/>
    </row>
    <row r="19" spans="10:75" x14ac:dyDescent="0.3">
      <c r="J19" s="3" t="s">
        <v>945</v>
      </c>
      <c r="L19" t="s">
        <v>946</v>
      </c>
      <c r="N19" s="357" t="s">
        <v>216</v>
      </c>
      <c r="P19" s="357" t="s">
        <v>947</v>
      </c>
      <c r="V19" t="s">
        <v>948</v>
      </c>
      <c r="W19" t="s">
        <v>869</v>
      </c>
      <c r="Z19" s="51" t="s">
        <v>949</v>
      </c>
      <c r="AF19" s="357" t="s">
        <v>809</v>
      </c>
      <c r="AL19" s="492" t="s">
        <v>172</v>
      </c>
      <c r="AM19" s="357"/>
      <c r="AN19" s="357"/>
      <c r="AO19" s="357"/>
      <c r="AP19" s="357"/>
      <c r="AQ19" s="357"/>
      <c r="AR19" s="357"/>
    </row>
    <row r="20" spans="10:75" x14ac:dyDescent="0.3">
      <c r="J20" s="3" t="s">
        <v>950</v>
      </c>
      <c r="N20" s="357" t="s">
        <v>218</v>
      </c>
      <c r="P20" s="357" t="s">
        <v>951</v>
      </c>
      <c r="V20" t="s">
        <v>952</v>
      </c>
      <c r="W20" t="s">
        <v>953</v>
      </c>
      <c r="Z20" s="51" t="s">
        <v>954</v>
      </c>
      <c r="AF20" s="357"/>
      <c r="AL20" s="492" t="s">
        <v>175</v>
      </c>
    </row>
    <row r="21" spans="10:75" ht="28.8" x14ac:dyDescent="0.3">
      <c r="J21" s="3" t="s">
        <v>955</v>
      </c>
      <c r="N21" s="357" t="s">
        <v>219</v>
      </c>
      <c r="P21" s="357" t="s">
        <v>956</v>
      </c>
      <c r="V21" t="s">
        <v>957</v>
      </c>
      <c r="W21" t="s">
        <v>958</v>
      </c>
      <c r="Z21" s="51" t="s">
        <v>959</v>
      </c>
      <c r="AF21" s="492"/>
      <c r="AL21" s="492" t="s">
        <v>929</v>
      </c>
    </row>
    <row r="22" spans="10:75" x14ac:dyDescent="0.3">
      <c r="J22" s="3" t="s">
        <v>457</v>
      </c>
      <c r="N22" s="357" t="s">
        <v>960</v>
      </c>
      <c r="P22" s="357" t="s">
        <v>961</v>
      </c>
      <c r="V22" t="s">
        <v>962</v>
      </c>
      <c r="W22" t="s">
        <v>963</v>
      </c>
      <c r="Z22" s="51" t="s">
        <v>702</v>
      </c>
      <c r="AL22" s="492" t="s">
        <v>36</v>
      </c>
    </row>
    <row r="23" spans="10:75" ht="28.8" x14ac:dyDescent="0.3">
      <c r="J23" s="3" t="s">
        <v>150</v>
      </c>
      <c r="N23" s="357" t="s">
        <v>964</v>
      </c>
      <c r="P23" s="357" t="s">
        <v>965</v>
      </c>
      <c r="V23" t="s">
        <v>966</v>
      </c>
      <c r="W23" t="s">
        <v>967</v>
      </c>
      <c r="Z23" s="51" t="s">
        <v>968</v>
      </c>
      <c r="AB23" s="31"/>
      <c r="AD23" s="31"/>
      <c r="AE23" s="31"/>
      <c r="AF23" s="492"/>
      <c r="AG23" s="31"/>
      <c r="AH23" s="31"/>
      <c r="AI23" s="31"/>
      <c r="AJ23" s="31"/>
      <c r="AK23" s="31"/>
      <c r="AL23" s="357" t="s">
        <v>164</v>
      </c>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row>
    <row r="24" spans="10:75" ht="28.8" x14ac:dyDescent="0.3">
      <c r="J24" s="3" t="s">
        <v>153</v>
      </c>
      <c r="N24" s="357" t="s">
        <v>223</v>
      </c>
      <c r="P24" s="357" t="s">
        <v>969</v>
      </c>
      <c r="V24" t="s">
        <v>970</v>
      </c>
      <c r="W24" t="s">
        <v>971</v>
      </c>
      <c r="Z24" s="51" t="s">
        <v>972</v>
      </c>
      <c r="AF24" s="492"/>
      <c r="AL24" s="357" t="s">
        <v>223</v>
      </c>
    </row>
    <row r="25" spans="10:75" ht="28.8" x14ac:dyDescent="0.3">
      <c r="J25" s="3" t="s">
        <v>154</v>
      </c>
      <c r="N25" s="489" t="s">
        <v>225</v>
      </c>
      <c r="P25" s="357" t="s">
        <v>973</v>
      </c>
      <c r="V25" t="s">
        <v>974</v>
      </c>
      <c r="W25" t="s">
        <v>975</v>
      </c>
      <c r="Z25" s="51" t="s">
        <v>976</v>
      </c>
      <c r="AC25" s="31"/>
      <c r="AF25" s="357"/>
      <c r="AL25" s="492" t="s">
        <v>891</v>
      </c>
    </row>
    <row r="26" spans="10:75" x14ac:dyDescent="0.3">
      <c r="J26" s="3" t="s">
        <v>147</v>
      </c>
      <c r="N26" s="357" t="s">
        <v>238</v>
      </c>
      <c r="P26" s="357" t="s">
        <v>977</v>
      </c>
      <c r="V26" t="s">
        <v>978</v>
      </c>
      <c r="Z26" s="51" t="s">
        <v>979</v>
      </c>
      <c r="AF26" s="357"/>
      <c r="AL26" s="492" t="s">
        <v>980</v>
      </c>
    </row>
    <row r="27" spans="10:75" x14ac:dyDescent="0.3">
      <c r="J27" s="493" t="s">
        <v>914</v>
      </c>
      <c r="N27" s="357" t="s">
        <v>229</v>
      </c>
      <c r="P27" s="357" t="s">
        <v>981</v>
      </c>
      <c r="V27" t="s">
        <v>982</v>
      </c>
      <c r="Z27" s="51" t="s">
        <v>983</v>
      </c>
      <c r="AF27" s="492"/>
      <c r="AL27" s="492" t="s">
        <v>984</v>
      </c>
    </row>
    <row r="28" spans="10:75" x14ac:dyDescent="0.3">
      <c r="N28" s="489" t="s">
        <v>230</v>
      </c>
      <c r="P28" s="357" t="s">
        <v>985</v>
      </c>
      <c r="V28" t="s">
        <v>986</v>
      </c>
      <c r="Z28" s="51" t="s">
        <v>987</v>
      </c>
      <c r="AF28" s="492"/>
    </row>
    <row r="29" spans="10:75" x14ac:dyDescent="0.3">
      <c r="N29" s="489" t="s">
        <v>231</v>
      </c>
      <c r="P29" s="357" t="s">
        <v>988</v>
      </c>
      <c r="V29" t="s">
        <v>989</v>
      </c>
      <c r="Z29" s="51" t="s">
        <v>447</v>
      </c>
      <c r="AF29" s="492"/>
    </row>
    <row r="30" spans="10:75" x14ac:dyDescent="0.3">
      <c r="N30" s="492" t="s">
        <v>990</v>
      </c>
      <c r="P30" s="357" t="s">
        <v>991</v>
      </c>
      <c r="V30" t="s">
        <v>992</v>
      </c>
      <c r="Z30" s="51" t="s">
        <v>993</v>
      </c>
    </row>
    <row r="31" spans="10:75" x14ac:dyDescent="0.3">
      <c r="N31" s="492" t="s">
        <v>980</v>
      </c>
      <c r="P31" s="357" t="s">
        <v>994</v>
      </c>
      <c r="V31" t="s">
        <v>995</v>
      </c>
    </row>
    <row r="32" spans="10:75" x14ac:dyDescent="0.3">
      <c r="N32" s="492" t="s">
        <v>172</v>
      </c>
      <c r="P32" s="357" t="s">
        <v>996</v>
      </c>
      <c r="V32" t="s">
        <v>997</v>
      </c>
    </row>
    <row r="33" spans="10:22" x14ac:dyDescent="0.3">
      <c r="N33" s="492" t="s">
        <v>175</v>
      </c>
      <c r="P33" s="357" t="s">
        <v>998</v>
      </c>
      <c r="V33" t="s">
        <v>999</v>
      </c>
    </row>
    <row r="34" spans="10:22" x14ac:dyDescent="0.3">
      <c r="N34" s="492" t="s">
        <v>984</v>
      </c>
      <c r="P34" t="s">
        <v>1000</v>
      </c>
      <c r="V34" t="s">
        <v>1001</v>
      </c>
    </row>
    <row r="35" spans="10:22" x14ac:dyDescent="0.3">
      <c r="N35" s="357" t="s">
        <v>176</v>
      </c>
      <c r="V35" t="s">
        <v>1002</v>
      </c>
    </row>
    <row r="36" spans="10:22" x14ac:dyDescent="0.3">
      <c r="N36" s="357" t="s">
        <v>178</v>
      </c>
      <c r="V36" t="s">
        <v>1003</v>
      </c>
    </row>
    <row r="37" spans="10:22" x14ac:dyDescent="0.3">
      <c r="N37" s="489" t="s">
        <v>232</v>
      </c>
      <c r="V37" t="s">
        <v>1004</v>
      </c>
    </row>
    <row r="38" spans="10:22" x14ac:dyDescent="0.3">
      <c r="J38" s="3"/>
      <c r="N38" s="492" t="s">
        <v>169</v>
      </c>
      <c r="V38" t="s">
        <v>1005</v>
      </c>
    </row>
    <row r="39" spans="10:22" x14ac:dyDescent="0.3">
      <c r="J39" s="3"/>
      <c r="N39" s="492" t="s">
        <v>955</v>
      </c>
      <c r="V39" t="s">
        <v>1006</v>
      </c>
    </row>
    <row r="40" spans="10:22" x14ac:dyDescent="0.3">
      <c r="N40" s="357" t="s">
        <v>240</v>
      </c>
      <c r="V40" t="s">
        <v>1007</v>
      </c>
    </row>
    <row r="41" spans="10:22" x14ac:dyDescent="0.3">
      <c r="N41" s="357" t="s">
        <v>242</v>
      </c>
      <c r="V41" t="s">
        <v>1008</v>
      </c>
    </row>
    <row r="42" spans="10:22" x14ac:dyDescent="0.3">
      <c r="N42" t="s">
        <v>1009</v>
      </c>
      <c r="V42" t="s">
        <v>1010</v>
      </c>
    </row>
    <row r="43" spans="10:22" x14ac:dyDescent="0.3">
      <c r="V43" t="s">
        <v>1011</v>
      </c>
    </row>
    <row r="44" spans="10:22" x14ac:dyDescent="0.3">
      <c r="V44" t="s">
        <v>1012</v>
      </c>
    </row>
    <row r="45" spans="10:22" x14ac:dyDescent="0.3">
      <c r="V45" t="s">
        <v>1013</v>
      </c>
    </row>
    <row r="46" spans="10:22" x14ac:dyDescent="0.3">
      <c r="V46" t="s">
        <v>1014</v>
      </c>
    </row>
    <row r="47" spans="10:22" x14ac:dyDescent="0.3">
      <c r="V47" t="s">
        <v>1015</v>
      </c>
    </row>
    <row r="48" spans="10:22" x14ac:dyDescent="0.3">
      <c r="V48" t="s">
        <v>1016</v>
      </c>
    </row>
    <row r="49" spans="22:22" x14ac:dyDescent="0.3">
      <c r="V49" t="s">
        <v>1017</v>
      </c>
    </row>
    <row r="50" spans="22:22" x14ac:dyDescent="0.3">
      <c r="V50" t="s">
        <v>1018</v>
      </c>
    </row>
    <row r="51" spans="22:22" x14ac:dyDescent="0.3">
      <c r="V51" t="s">
        <v>1019</v>
      </c>
    </row>
    <row r="52" spans="22:22" x14ac:dyDescent="0.3">
      <c r="V52" t="s">
        <v>1020</v>
      </c>
    </row>
    <row r="53" spans="22:22" x14ac:dyDescent="0.3">
      <c r="V53" t="s">
        <v>1021</v>
      </c>
    </row>
    <row r="54" spans="22:22" x14ac:dyDescent="0.3">
      <c r="V54" t="s">
        <v>1022</v>
      </c>
    </row>
    <row r="55" spans="22:22" x14ac:dyDescent="0.3">
      <c r="V55" t="s">
        <v>1023</v>
      </c>
    </row>
    <row r="56" spans="22:22" x14ac:dyDescent="0.3">
      <c r="V56" t="s">
        <v>1024</v>
      </c>
    </row>
    <row r="57" spans="22:22" x14ac:dyDescent="0.3">
      <c r="V57" t="s">
        <v>1025</v>
      </c>
    </row>
    <row r="58" spans="22:22" x14ac:dyDescent="0.3">
      <c r="V58" t="s">
        <v>1026</v>
      </c>
    </row>
    <row r="59" spans="22:22" x14ac:dyDescent="0.3">
      <c r="V59" t="s">
        <v>1027</v>
      </c>
    </row>
    <row r="60" spans="22:22" x14ac:dyDescent="0.3">
      <c r="V60" t="s">
        <v>1028</v>
      </c>
    </row>
    <row r="61" spans="22:22" x14ac:dyDescent="0.3">
      <c r="V61" t="s">
        <v>1029</v>
      </c>
    </row>
    <row r="62" spans="22:22" x14ac:dyDescent="0.3">
      <c r="V62" t="s">
        <v>1030</v>
      </c>
    </row>
    <row r="63" spans="22:22" x14ac:dyDescent="0.3">
      <c r="V63" t="s">
        <v>1031</v>
      </c>
    </row>
    <row r="64" spans="22:22" x14ac:dyDescent="0.3">
      <c r="V64" t="s">
        <v>1032</v>
      </c>
    </row>
    <row r="65" spans="22:22" x14ac:dyDescent="0.3">
      <c r="V65" t="s">
        <v>1033</v>
      </c>
    </row>
    <row r="66" spans="22:22" x14ac:dyDescent="0.3">
      <c r="V66" t="s">
        <v>1034</v>
      </c>
    </row>
    <row r="67" spans="22:22" x14ac:dyDescent="0.3">
      <c r="V67" t="s">
        <v>1035</v>
      </c>
    </row>
    <row r="68" spans="22:22" x14ac:dyDescent="0.3">
      <c r="V68" t="s">
        <v>1036</v>
      </c>
    </row>
    <row r="69" spans="22:22" x14ac:dyDescent="0.3">
      <c r="V69" t="s">
        <v>1037</v>
      </c>
    </row>
    <row r="70" spans="22:22" x14ac:dyDescent="0.3">
      <c r="V70" t="s">
        <v>1038</v>
      </c>
    </row>
    <row r="71" spans="22:22" x14ac:dyDescent="0.3">
      <c r="V71" t="s">
        <v>1039</v>
      </c>
    </row>
    <row r="72" spans="22:22" x14ac:dyDescent="0.3">
      <c r="V72" t="s">
        <v>1040</v>
      </c>
    </row>
    <row r="73" spans="22:22" x14ac:dyDescent="0.3">
      <c r="V73" t="s">
        <v>1041</v>
      </c>
    </row>
  </sheetData>
  <sheetProtection algorithmName="SHA-512" hashValue="aAwvCtpsz6f1TVnNfJd8tv0GSn9PkUwe4dRShstWnIFUM+Omrg8cb6WhZ/gCI3hpugF2rSSp3oxjwqTfertYzw==" saltValue="ijmq3Qw1ZRGM4v37+8ZuwA==" spinCount="100000" sheet="1" objects="1" scenarios="1"/>
  <sortState xmlns:xlrd2="http://schemas.microsoft.com/office/spreadsheetml/2017/richdata2" ref="AC7:AC15">
    <sortCondition ref="AC7"/>
  </sortState>
  <customSheetViews>
    <customSheetView guid="{A8E9A491-4491-4848-9959-58297999E6F5}" state="hidden">
      <selection activeCell="F43" sqref="F43"/>
      <pageMargins left="0" right="0" top="0" bottom="0" header="0" footer="0"/>
      <pageSetup orientation="portrait" r:id="rId1"/>
    </customSheetView>
    <customSheetView guid="{CBE97499-8DE4-4834-9D9F-4D852DB24A20}" topLeftCell="AI3">
      <selection activeCell="AJ6" sqref="AJ6:AJ14"/>
      <pageMargins left="0" right="0" top="0" bottom="0" header="0" footer="0"/>
      <pageSetup orientation="portrait" r:id="rId2"/>
    </customSheetView>
    <customSheetView guid="{BAC701C4-B534-4ABA-907B-FE30A3505B8B}">
      <selection activeCell="AJ6" sqref="AJ6:AJ14"/>
      <pageMargins left="0" right="0" top="0" bottom="0" header="0" footer="0"/>
      <pageSetup orientation="portrait" r:id="rId3"/>
    </customSheetView>
    <customSheetView guid="{3F555A8F-379C-4D2D-833A-FF346FE5F044}" topLeftCell="AI3">
      <selection activeCell="AJ6" sqref="AJ6:AJ14"/>
      <pageMargins left="0" right="0" top="0" bottom="0" header="0" footer="0"/>
      <pageSetup orientation="portrait" r:id="rId4"/>
    </customSheetView>
    <customSheetView guid="{61CEA325-629A-4670-A66B-4314E031BBF1}">
      <selection activeCell="B6" sqref="B6"/>
      <pageMargins left="0" right="0" top="0" bottom="0" header="0" footer="0"/>
      <pageSetup orientation="portrait" r:id="rId5"/>
    </customSheetView>
  </customSheetView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B34C521C601B4F9DCE921A7DEE7460" ma:contentTypeVersion="39" ma:contentTypeDescription="Create a new document." ma:contentTypeScope="" ma:versionID="f6dddcff011bc678ddda63a292f1c038">
  <xsd:schema xmlns:xsd="http://www.w3.org/2001/XMLSchema" xmlns:xs="http://www.w3.org/2001/XMLSchema" xmlns:p="http://schemas.microsoft.com/office/2006/metadata/properties" xmlns:ns2="2265d2cf-dc49-4f73-81a7-3266a36d53af" xmlns:ns3="61170afc-8edf-4b61-a019-dc093f4e4a16" targetNamespace="http://schemas.microsoft.com/office/2006/metadata/properties" ma:root="true" ma:fieldsID="efdf427252267bcbaf94b94164de6030" ns2:_="" ns3:_="">
    <xsd:import namespace="2265d2cf-dc49-4f73-81a7-3266a36d53af"/>
    <xsd:import namespace="61170afc-8edf-4b61-a019-dc093f4e4a16"/>
    <xsd:element name="properties">
      <xsd:complexType>
        <xsd:sequence>
          <xsd:element name="documentManagement">
            <xsd:complexType>
              <xsd:all>
                <xsd:element ref="ns2:Note" minOccurs="0"/>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element ref="ns2:MediaServiceOCR" minOccurs="0"/>
                <xsd:element ref="ns2:MediaLengthInSeconds" minOccurs="0"/>
                <xsd:element ref="ns2:Date" minOccurs="0"/>
                <xsd:element ref="ns2:OWNER_x003a_OITOperationalPolicy_x002c_Planning_x002c_CoordTeam" minOccurs="0"/>
                <xsd:element ref="ns2:lcf76f155ced4ddcb4097134ff3c332f" minOccurs="0"/>
                <xsd:element ref="ns3:TaxCatchAll" minOccurs="0"/>
                <xsd:element ref="ns2:Year" minOccurs="0"/>
                <xsd:element ref="ns2:Importance_x003f_" minOccurs="0"/>
                <xsd:element ref="ns2:SpecifictoCanadiancontext_x003f_" minOccurs="0"/>
                <xsd:element ref="ns2:Inputto" minOccurs="0"/>
                <xsd:element ref="ns2:Inputtype" minOccurs="0"/>
                <xsd:element ref="ns2:CfDtype" minOccurs="0"/>
                <xsd:element ref="ns2:ResourceCategory" minOccurs="0"/>
                <xsd:element ref="ns2:MediaServiceObjectDetectorVersions" minOccurs="0"/>
                <xsd:element ref="ns2:Draft_x002f_Final" minOccurs="0"/>
                <xsd:element ref="ns2:Org" minOccurs="0"/>
                <xsd:element ref="ns2:Topic" minOccurs="0"/>
                <xsd:element ref="ns2:Incoming" minOccurs="0"/>
                <xsd:element ref="ns2:Status" minOccurs="0"/>
                <xsd:element ref="ns2:Response" minOccurs="0"/>
                <xsd:element ref="ns2:MediaServiceSearchProperties" minOccurs="0"/>
                <xsd:element ref="ns2:DocumentStatus" minOccurs="0"/>
                <xsd:element ref="ns2:Docum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65d2cf-dc49-4f73-81a7-3266a36d53af" elementFormDefault="qualified">
    <xsd:import namespace="http://schemas.microsoft.com/office/2006/documentManagement/types"/>
    <xsd:import namespace="http://schemas.microsoft.com/office/infopath/2007/PartnerControls"/>
    <xsd:element name="Note" ma:index="1" nillable="true" ma:displayName="Note" ma:description="Short note explaining the content or purpose of the file. " ma:format="Dropdown" ma:internalName="Not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hidden="true" ma:internalName="MediaServiceLocatio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OCR" ma:index="19" nillable="true" ma:displayName="Extracted Text" ma:hidden="true" ma:internalName="MediaServiceOCR"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element name="Date" ma:index="22" nillable="true" ma:displayName="Date" ma:format="DateOnly" ma:hidden="true" ma:internalName="Date" ma:readOnly="false">
      <xsd:simpleType>
        <xsd:restriction base="dms:DateTime"/>
      </xsd:simpleType>
    </xsd:element>
    <xsd:element name="OWNER_x003a_OITOperationalPolicy_x002c_Planning_x002c_CoordTeam" ma:index="23" nillable="true" ma:displayName="OWNER: OIT Operational Policy, Planning, Coord Team" ma:description="Please see Maheen, Kiera, Darla if you need assistance" ma:format="Dropdown" ma:hidden="true" ma:list="UserInfo" ma:SharePointGroup="0" ma:internalName="OWNER_x003a_OITOperationalPolicy_x002c_Planning_x002c_CoordTeam"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57fe21a1-9997-4c9a-aa7f-25894d3490fd" ma:termSetId="09814cd3-568e-fe90-9814-8d621ff8fb84" ma:anchorId="fba54fb3-c3e1-fe81-a776-ca4b69148c4d" ma:open="true" ma:isKeyword="false">
      <xsd:complexType>
        <xsd:sequence>
          <xsd:element ref="pc:Terms" minOccurs="0" maxOccurs="1"/>
        </xsd:sequence>
      </xsd:complexType>
    </xsd:element>
    <xsd:element name="Year" ma:index="27" nillable="true" ma:displayName="Year" ma:description="How old is it?" ma:format="Dropdown" ma:internalName="Year">
      <xsd:simpleType>
        <xsd:restriction base="dms:Text">
          <xsd:maxLength value="255"/>
        </xsd:restriction>
      </xsd:simpleType>
    </xsd:element>
    <xsd:element name="Importance_x003f_" ma:index="28" nillable="true" ma:displayName="Importance?" ma:format="Dropdown" ma:internalName="Importance_x003f_">
      <xsd:complexType>
        <xsd:complexContent>
          <xsd:extension base="dms:MultiChoiceFillIn">
            <xsd:sequence>
              <xsd:element name="Value" maxOccurs="unbounded" minOccurs="0" nillable="true">
                <xsd:simpleType>
                  <xsd:union memberTypes="dms:Text">
                    <xsd:simpleType>
                      <xsd:restriction base="dms:Choice">
                        <xsd:enumeration value="Important"/>
                        <xsd:enumeration value="If you have time"/>
                        <xsd:enumeration value="Not crucial to read"/>
                      </xsd:restriction>
                    </xsd:simpleType>
                  </xsd:union>
                </xsd:simpleType>
              </xsd:element>
            </xsd:sequence>
          </xsd:extension>
        </xsd:complexContent>
      </xsd:complexType>
    </xsd:element>
    <xsd:element name="SpecifictoCanadiancontext_x003f_" ma:index="29" nillable="true" ma:displayName="Specific to Canadian context?" ma:format="Dropdown" ma:internalName="SpecifictoCanadiancontext_x003f_">
      <xsd:complexType>
        <xsd:complexContent>
          <xsd:extension base="dms:MultiChoice">
            <xsd:sequence>
              <xsd:element name="Value" maxOccurs="unbounded" minOccurs="0" nillable="true">
                <xsd:simpleType>
                  <xsd:restriction base="dms:Choice">
                    <xsd:enumeration value="Oh Canada"/>
                    <xsd:enumeration value="Non-Canadian system"/>
                    <xsd:enumeration value="Europe and/or ETS"/>
                    <xsd:enumeration value="Choice 4"/>
                  </xsd:restriction>
                </xsd:simpleType>
              </xsd:element>
            </xsd:sequence>
          </xsd:extension>
        </xsd:complexContent>
      </xsd:complexType>
    </xsd:element>
    <xsd:element name="Inputto" ma:index="30" nillable="true" ma:displayName="Input to" ma:format="Dropdown" ma:internalName="Inputto">
      <xsd:complexType>
        <xsd:complexContent>
          <xsd:extension base="dms:MultiChoice">
            <xsd:sequence>
              <xsd:element name="Value" maxOccurs="unbounded" minOccurs="0" nillable="true">
                <xsd:simpleType>
                  <xsd:restriction base="dms:Choice">
                    <xsd:enumeration value="Minister's Office"/>
                    <xsd:enumeration value="DGM-level"/>
                    <xsd:enumeration value="Choice 3"/>
                    <xsd:enumeration value="Policy Team"/>
                  </xsd:restriction>
                </xsd:simpleType>
              </xsd:element>
            </xsd:sequence>
          </xsd:extension>
        </xsd:complexContent>
      </xsd:complexType>
    </xsd:element>
    <xsd:element name="Inputtype" ma:index="31" nillable="true" ma:displayName="Input type" ma:format="Dropdown" ma:internalName="Inputtype">
      <xsd:complexType>
        <xsd:complexContent>
          <xsd:extension base="dms:MultiChoice">
            <xsd:sequence>
              <xsd:element name="Value" maxOccurs="unbounded" minOccurs="0" nillable="true">
                <xsd:simpleType>
                  <xsd:restriction base="dms:Choice">
                    <xsd:enumeration value="Scenario Note"/>
                    <xsd:enumeration value="Summary"/>
                    <xsd:enumeration value="MC"/>
                    <xsd:enumeration value="Current state"/>
                    <xsd:enumeration value="Discussion"/>
                  </xsd:restriction>
                </xsd:simpleType>
              </xsd:element>
            </xsd:sequence>
          </xsd:extension>
        </xsd:complexContent>
      </xsd:complexType>
    </xsd:element>
    <xsd:element name="CfDtype" ma:index="32" nillable="true" ma:displayName="CfD type" ma:format="Dropdown" ma:internalName="CfDtype">
      <xsd:complexType>
        <xsd:complexContent>
          <xsd:extension base="dms:MultiChoice">
            <xsd:sequence>
              <xsd:element name="Value" maxOccurs="unbounded" minOccurs="0" nillable="true">
                <xsd:simpleType>
                  <xsd:restriction base="dms:Choice">
                    <xsd:enumeration value="Product CfD"/>
                    <xsd:enumeration value="Carbon CfD"/>
                    <xsd:enumeration value="Offtake agrement"/>
                    <xsd:enumeration value="Renewable energy CfD"/>
                  </xsd:restriction>
                </xsd:simpleType>
              </xsd:element>
            </xsd:sequence>
          </xsd:extension>
        </xsd:complexContent>
      </xsd:complexType>
    </xsd:element>
    <xsd:element name="ResourceCategory" ma:index="33" nillable="true" ma:displayName="Resource Category" ma:format="Dropdown" ma:internalName="ResourceCategory">
      <xsd:complexType>
        <xsd:complexContent>
          <xsd:extension base="dms:MultiChoice">
            <xsd:sequence>
              <xsd:element name="Value" maxOccurs="unbounded" minOccurs="0" nillable="true">
                <xsd:simpleType>
                  <xsd:restriction base="dms:Choice">
                    <xsd:enumeration value="Industry proposal"/>
                    <xsd:enumeration value="NGO proposal"/>
                    <xsd:enumeration value="Other proposal"/>
                    <xsd:enumeration value="Internal summary"/>
                    <xsd:enumeration value="CMB input"/>
                    <xsd:enumeration value="Stakeholder dialogue"/>
                    <xsd:enumeration value="Scenario Note"/>
                    <xsd:enumeration value="CfD system"/>
                  </xsd:restriction>
                </xsd:simpleType>
              </xsd:element>
            </xsd:sequence>
          </xsd:extension>
        </xsd:complexContent>
      </xsd:complexType>
    </xsd:element>
    <xsd:element name="MediaServiceObjectDetectorVersions" ma:index="34" nillable="true" ma:displayName="MediaServiceObjectDetectorVersions" ma:hidden="true" ma:indexed="true" ma:internalName="MediaServiceObjectDetectorVersions" ma:readOnly="true">
      <xsd:simpleType>
        <xsd:restriction base="dms:Text"/>
      </xsd:simpleType>
    </xsd:element>
    <xsd:element name="Draft_x002f_Final" ma:index="35" nillable="true" ma:displayName="Draft/Final" ma:format="Dropdown" ma:internalName="Draft_x002f_Final">
      <xsd:complexType>
        <xsd:complexContent>
          <xsd:extension base="dms:MultiChoice">
            <xsd:sequence>
              <xsd:element name="Value" maxOccurs="unbounded" minOccurs="0" nillable="true">
                <xsd:simpleType>
                  <xsd:restriction base="dms:Choice">
                    <xsd:enumeration value="Draft"/>
                    <xsd:enumeration value="Final"/>
                    <xsd:enumeration value="Awaiting review"/>
                  </xsd:restriction>
                </xsd:simpleType>
              </xsd:element>
            </xsd:sequence>
          </xsd:extension>
        </xsd:complexContent>
      </xsd:complexType>
    </xsd:element>
    <xsd:element name="Org" ma:index="36" nillable="true" ma:displayName="Org" ma:format="Dropdown" ma:internalName="Org">
      <xsd:simpleType>
        <xsd:union memberTypes="dms:Text">
          <xsd:simpleType>
            <xsd:restriction base="dms:Choice">
              <xsd:enumeration value="General public"/>
              <xsd:enumeration value="Industry"/>
              <xsd:enumeration value="ENGO"/>
              <xsd:enumeration value="Parliamentarian"/>
              <xsd:enumeration value="PT"/>
            </xsd:restriction>
          </xsd:simpleType>
        </xsd:union>
      </xsd:simpleType>
    </xsd:element>
    <xsd:element name="Topic" ma:index="37" nillable="true" ma:displayName="Topic" ma:format="Dropdown" ma:internalName="Topic">
      <xsd:complexType>
        <xsd:complexContent>
          <xsd:extension base="dms:MultiChoiceFillIn">
            <xsd:sequence>
              <xsd:element name="Value" maxOccurs="unbounded" minOccurs="0" nillable="true">
                <xsd:simpleType>
                  <xsd:union memberTypes="dms:Text">
                    <xsd:simpleType>
                      <xsd:restriction base="dms:Choice">
                        <xsd:enumeration value="OG cap"/>
                        <xsd:enumeration value="OBPS"/>
                        <xsd:enumeration value="CAI"/>
                        <xsd:enumeration value="Affordability"/>
                        <xsd:enumeration value="Price certainty"/>
                        <xsd:enumeration value="Benchmark"/>
                        <xsd:enumeration value="GCPC"/>
                        <xsd:enumeration value="Leakage"/>
                        <xsd:enumeration value="BCAs"/>
                        <xsd:enumeration value="General"/>
                      </xsd:restriction>
                    </xsd:simpleType>
                  </xsd:union>
                </xsd:simpleType>
              </xsd:element>
            </xsd:sequence>
          </xsd:extension>
        </xsd:complexContent>
      </xsd:complexType>
    </xsd:element>
    <xsd:element name="Incoming" ma:index="38" nillable="true" ma:displayName="Incoming" ma:description="link to files with original request" ma:format="Hyperlink" ma:internalName="Incoming">
      <xsd:complexType>
        <xsd:complexContent>
          <xsd:extension base="dms:URL">
            <xsd:sequence>
              <xsd:element name="Url" type="dms:ValidUrl" minOccurs="0" nillable="true"/>
              <xsd:element name="Description" type="xsd:string" nillable="true"/>
            </xsd:sequence>
          </xsd:extension>
        </xsd:complexContent>
      </xsd:complexType>
    </xsd:element>
    <xsd:element name="Status" ma:index="39" nillable="true" ma:displayName="Approval Status" ma:format="Dropdown" ma:internalName="Status">
      <xsd:simpleType>
        <xsd:restriction base="dms:Choice">
          <xsd:enumeration value="For approval"/>
          <xsd:enumeration value="Manager approved"/>
          <xsd:enumeration value="Director approved"/>
          <xsd:enumeration value="DG approved"/>
          <xsd:enumeration value="ADM approved"/>
        </xsd:restriction>
      </xsd:simpleType>
    </xsd:element>
    <xsd:element name="Response" ma:index="40" nillable="true" ma:displayName="Response" ma:description="What is included in the response" ma:format="Dropdown" ma:internalName="Response">
      <xsd:simpleType>
        <xsd:restriction base="dms:Choice">
          <xsd:enumeration value="Standard reply"/>
          <xsd:enumeration value="Other preapproved"/>
          <xsd:enumeration value="Original content"/>
        </xsd:restriction>
      </xsd:simpleType>
    </xsd:element>
    <xsd:element name="MediaServiceSearchProperties" ma:index="41" nillable="true" ma:displayName="MediaServiceSearchProperties" ma:hidden="true" ma:internalName="MediaServiceSearchProperties" ma:readOnly="true">
      <xsd:simpleType>
        <xsd:restriction base="dms:Note"/>
      </xsd:simpleType>
    </xsd:element>
    <xsd:element name="DocumentStatus" ma:index="42" nillable="true" ma:displayName="Document Status" ma:format="Dropdown" ma:internalName="DocumentStatus">
      <xsd:simpleType>
        <xsd:restriction base="dms:Choice">
          <xsd:enumeration value="1. Draft"/>
          <xsd:enumeration value="2. Under Review"/>
          <xsd:enumeration value="3. Final"/>
          <xsd:enumeration value="4. Archive"/>
          <xsd:enumeration value="5. Ongoing"/>
        </xsd:restriction>
      </xsd:simpleType>
    </xsd:element>
    <xsd:element name="DocumentType" ma:index="43" nillable="true" ma:displayName="Document Type" ma:format="Dropdown" ma:internalName="DocumentType">
      <xsd:simpleType>
        <xsd:union memberTypes="dms:Text">
          <xsd:simpleType>
            <xsd:restriction base="dms:Choice">
              <xsd:enumeration value="SOP"/>
              <xsd:enumeration value="Checklist"/>
              <xsd:enumeration value="Internal Guidance"/>
              <xsd:enumeration value="External Guidance"/>
              <xsd:enumeration value="Email Draft"/>
              <xsd:enumeration value="Planning"/>
              <xsd:enumeration value="Template"/>
              <xsd:enumeration value="Report"/>
              <xsd:enumeration value="Tracker"/>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61170afc-8edf-4b61-a019-dc093f4e4a16"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6" nillable="true" ma:displayName="Taxonomy Catch All Column" ma:hidden="true" ma:list="{883cf85f-c772-458a-9e0b-9b2be735421d}" ma:internalName="TaxCatchAll" ma:showField="CatchAllData" ma:web="61170afc-8edf-4b61-a019-dc093f4e4a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 xmlns="2265d2cf-dc49-4f73-81a7-3266a36d53af" xsi:nil="true"/>
    <OWNER_x003a_OITOperationalPolicy_x002c_Planning_x002c_CoordTeam xmlns="2265d2cf-dc49-4f73-81a7-3266a36d53af">
      <UserInfo>
        <DisplayName/>
        <AccountId xsi:nil="true"/>
        <AccountType/>
      </UserInfo>
    </OWNER_x003a_OITOperationalPolicy_x002c_Planning_x002c_CoordTeam>
    <lcf76f155ced4ddcb4097134ff3c332f xmlns="2265d2cf-dc49-4f73-81a7-3266a36d53af">
      <Terms xmlns="http://schemas.microsoft.com/office/infopath/2007/PartnerControls"/>
    </lcf76f155ced4ddcb4097134ff3c332f>
    <TaxCatchAll xmlns="61170afc-8edf-4b61-a019-dc093f4e4a16" xsi:nil="true"/>
    <Date xmlns="2265d2cf-dc49-4f73-81a7-3266a36d53af" xsi:nil="true"/>
    <Year xmlns="2265d2cf-dc49-4f73-81a7-3266a36d53af" xsi:nil="true"/>
    <Importance_x003f_ xmlns="2265d2cf-dc49-4f73-81a7-3266a36d53af" xsi:nil="true"/>
    <SpecifictoCanadiancontext_x003f_ xmlns="2265d2cf-dc49-4f73-81a7-3266a36d53af" xsi:nil="true"/>
    <Inputtype xmlns="2265d2cf-dc49-4f73-81a7-3266a36d53af" xsi:nil="true"/>
    <Inputto xmlns="2265d2cf-dc49-4f73-81a7-3266a36d53af" xsi:nil="true"/>
    <CfDtype xmlns="2265d2cf-dc49-4f73-81a7-3266a36d53af" xsi:nil="true"/>
    <ResourceCategory xmlns="2265d2cf-dc49-4f73-81a7-3266a36d53af" xsi:nil="true"/>
    <Draft_x002f_Final xmlns="2265d2cf-dc49-4f73-81a7-3266a36d53af" xsi:nil="true"/>
    <Org xmlns="2265d2cf-dc49-4f73-81a7-3266a36d53af" xsi:nil="true"/>
    <Incoming xmlns="2265d2cf-dc49-4f73-81a7-3266a36d53af">
      <Url xsi:nil="true"/>
      <Description xsi:nil="true"/>
    </Incoming>
    <Topic xmlns="2265d2cf-dc49-4f73-81a7-3266a36d53af" xsi:nil="true"/>
    <Status xmlns="2265d2cf-dc49-4f73-81a7-3266a36d53af" xsi:nil="true"/>
    <Response xmlns="2265d2cf-dc49-4f73-81a7-3266a36d53af" xsi:nil="true"/>
    <DocumentStatus xmlns="2265d2cf-dc49-4f73-81a7-3266a36d53af" xsi:nil="true"/>
    <DocumentType xmlns="2265d2cf-dc49-4f73-81a7-3266a36d53af" xsi:nil="true"/>
  </documentManagement>
</p:properties>
</file>

<file path=customXml/itemProps1.xml><?xml version="1.0" encoding="utf-8"?>
<ds:datastoreItem xmlns:ds="http://schemas.openxmlformats.org/officeDocument/2006/customXml" ds:itemID="{8B3A20F4-3C16-44D5-B53A-65B583E5D049}">
  <ds:schemaRefs>
    <ds:schemaRef ds:uri="http://schemas.microsoft.com/sharepoint/v3/contenttype/forms"/>
  </ds:schemaRefs>
</ds:datastoreItem>
</file>

<file path=customXml/itemProps2.xml><?xml version="1.0" encoding="utf-8"?>
<ds:datastoreItem xmlns:ds="http://schemas.openxmlformats.org/officeDocument/2006/customXml" ds:itemID="{CE27091A-D1D9-4DFC-A986-918E9167D4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65d2cf-dc49-4f73-81a7-3266a36d53af"/>
    <ds:schemaRef ds:uri="61170afc-8edf-4b61-a019-dc093f4e4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C954B9-B831-4C19-B52D-6D6F04F263B7}">
  <ds:schemaRefs>
    <ds:schemaRef ds:uri="http://schemas.microsoft.com/office/2006/metadata/properties"/>
    <ds:schemaRef ds:uri="http://schemas.microsoft.com/office/infopath/2007/PartnerControls"/>
    <ds:schemaRef ds:uri="2265d2cf-dc49-4f73-81a7-3266a36d53af"/>
    <ds:schemaRef ds:uri="61170afc-8edf-4b61-a019-dc093f4e4a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Cover page</vt:lpstr>
      <vt:lpstr>Readme</vt:lpstr>
      <vt:lpstr>General - LCIF Producer</vt:lpstr>
      <vt:lpstr>ECCC Parameters</vt:lpstr>
      <vt:lpstr>Corn (Global)</vt:lpstr>
      <vt:lpstr>Wheat (non-durum) (Global)</vt:lpstr>
      <vt:lpstr>Bioethanol</vt:lpstr>
      <vt:lpstr>Bioethanol Portions</vt:lpstr>
      <vt:lpstr>Animal feeds (WDGS)</vt:lpstr>
      <vt:lpstr>Animal feeds (DDGS)</vt:lpstr>
      <vt:lpstr>Animal feeds (WDGS) Portions</vt:lpstr>
      <vt:lpstr>Animal feeds (DDGS) Portions</vt:lpstr>
      <vt:lpstr>Natural gas</vt:lpstr>
      <vt:lpstr>Grid electricity (ON,CA)</vt:lpstr>
      <vt:lpstr>On-site Electricity (Solar)</vt:lpstr>
      <vt:lpstr>Pre-set Chemical Mix</vt:lpstr>
      <vt:lpstr>Allocation</vt:lpstr>
      <vt:lpstr>Bioethanol distribution</vt:lpstr>
      <vt:lpstr>Side Calc. - Corn transport</vt:lpstr>
      <vt:lpstr>Side Calc. - Wheat transport</vt:lpstr>
      <vt:lpstr>Side Calc. - Bioethanol</vt:lpstr>
      <vt:lpstr>Side Calc. - WDGS</vt:lpstr>
      <vt:lpstr>Side Calc. - DDGS</vt:lpstr>
      <vt:lpstr>Lists</vt:lpstr>
      <vt:lpstr>FuelSpec_NG_HHV</vt:lpstr>
    </vt:vector>
  </TitlesOfParts>
  <Manager/>
  <Company>Environment Climate Change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Lesage,Pascal (ECCC)</dc:creator>
  <cp:keywords/>
  <dc:description/>
  <cp:lastModifiedBy>Zirui Tang</cp:lastModifiedBy>
  <cp:revision/>
  <dcterms:created xsi:type="dcterms:W3CDTF">2021-08-23T19:01:01Z</dcterms:created>
  <dcterms:modified xsi:type="dcterms:W3CDTF">2025-09-04T03:01:18Z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0x010100E6B34C521C601B4F9DCE921A7DEE7460</vt:lpwstr>
  </property>
  <property fmtid="{D5CDD505-2E9C-101B-9397-08002B2CF9AE}" pid="3" name="MediaServiceImageTags">
    <vt:lpwstr/>
  </property>
</Properties>
</file>