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8_{55C400AF-8DAF-4E64-B76F-2A81064FEB1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xcel function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5" i="2"/>
  <c r="A37" i="2"/>
  <c r="A38" i="2"/>
  <c r="A39" i="2"/>
  <c r="A42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60" i="2"/>
  <c r="A62" i="2"/>
  <c r="A66" i="2"/>
  <c r="A67" i="2"/>
  <c r="A68" i="2"/>
  <c r="A69" i="2"/>
  <c r="A71" i="2"/>
  <c r="A72" i="2"/>
  <c r="A73" i="2"/>
  <c r="A74" i="2"/>
  <c r="A75" i="2"/>
  <c r="A76" i="2"/>
  <c r="A79" i="2"/>
  <c r="A80" i="2"/>
  <c r="A82" i="2"/>
  <c r="A83" i="2"/>
  <c r="A84" i="2"/>
  <c r="A85" i="2"/>
  <c r="A90" i="2"/>
  <c r="A99" i="2"/>
  <c r="A101" i="2"/>
  <c r="A102" i="2"/>
  <c r="A112" i="2"/>
  <c r="A114" i="2"/>
  <c r="A117" i="2"/>
  <c r="A120" i="2"/>
  <c r="A124" i="2"/>
  <c r="A125" i="2"/>
  <c r="A126" i="2"/>
  <c r="A127" i="2"/>
  <c r="A128" i="2"/>
  <c r="A129" i="2"/>
  <c r="A136" i="2"/>
  <c r="A137" i="2"/>
  <c r="A139" i="2"/>
  <c r="A148" i="2"/>
  <c r="A150" i="2"/>
  <c r="A151" i="2"/>
  <c r="A152" i="2"/>
  <c r="A153" i="2"/>
  <c r="A155" i="2"/>
  <c r="A156" i="2"/>
  <c r="A158" i="2"/>
  <c r="A159" i="2"/>
  <c r="A162" i="2"/>
  <c r="A163" i="2"/>
  <c r="A164" i="2"/>
  <c r="A168" i="2"/>
  <c r="A169" i="2"/>
  <c r="A171" i="2"/>
  <c r="A175" i="2"/>
  <c r="A176" i="2"/>
  <c r="A178" i="2"/>
  <c r="A179" i="2"/>
  <c r="A192" i="2"/>
  <c r="A193" i="2"/>
  <c r="A198" i="2"/>
  <c r="A199" i="2"/>
  <c r="A200" i="2"/>
  <c r="A201" i="2"/>
  <c r="A203" i="2"/>
  <c r="A207" i="2"/>
  <c r="A208" i="2"/>
  <c r="A209" i="2"/>
  <c r="A212" i="2"/>
  <c r="A213" i="2"/>
  <c r="A216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8" i="2"/>
  <c r="A249" i="2"/>
  <c r="A258" i="2"/>
  <c r="A263" i="2"/>
  <c r="A264" i="2"/>
  <c r="A265" i="2"/>
  <c r="A267" i="2"/>
  <c r="A270" i="2"/>
  <c r="A272" i="2"/>
  <c r="A274" i="2"/>
  <c r="A276" i="2"/>
  <c r="A277" i="2"/>
  <c r="A278" i="2"/>
  <c r="A279" i="2"/>
  <c r="A281" i="2"/>
  <c r="A282" i="2"/>
  <c r="A283" i="2"/>
  <c r="A291" i="2"/>
  <c r="A292" i="2"/>
  <c r="A293" i="2"/>
  <c r="A296" i="2"/>
  <c r="A301" i="2"/>
  <c r="A303" i="2"/>
  <c r="A309" i="2"/>
  <c r="A314" i="2"/>
  <c r="A315" i="2"/>
  <c r="A316" i="2"/>
  <c r="A318" i="2"/>
  <c r="A322" i="2"/>
  <c r="A328" i="2"/>
  <c r="A329" i="2"/>
  <c r="A330" i="2"/>
  <c r="A331" i="2"/>
  <c r="A336" i="2"/>
  <c r="A337" i="2"/>
  <c r="A338" i="2"/>
  <c r="A339" i="2"/>
  <c r="A340" i="2"/>
  <c r="A345" i="2"/>
  <c r="A347" i="2"/>
  <c r="A355" i="2"/>
  <c r="A356" i="2"/>
  <c r="A357" i="2"/>
  <c r="A363" i="2"/>
  <c r="A375" i="2"/>
  <c r="A376" i="2"/>
  <c r="A378" i="2"/>
  <c r="A379" i="2"/>
  <c r="A380" i="2"/>
  <c r="A385" i="2"/>
  <c r="A386" i="2"/>
  <c r="A388" i="2"/>
  <c r="A389" i="2"/>
  <c r="A391" i="2"/>
  <c r="A392" i="2"/>
  <c r="A393" i="2"/>
  <c r="A394" i="2"/>
  <c r="A395" i="2"/>
  <c r="A396" i="2"/>
  <c r="A397" i="2"/>
  <c r="A398" i="2"/>
  <c r="A400" i="2"/>
  <c r="A401" i="2"/>
  <c r="A403" i="2"/>
  <c r="A404" i="2"/>
  <c r="A405" i="2"/>
  <c r="A407" i="2"/>
  <c r="A411" i="2"/>
  <c r="A412" i="2"/>
  <c r="A413" i="2"/>
  <c r="A419" i="2"/>
  <c r="A420" i="2"/>
  <c r="A421" i="2"/>
  <c r="A422" i="2"/>
  <c r="A424" i="2"/>
  <c r="A435" i="2"/>
  <c r="A436" i="2"/>
  <c r="A438" i="2"/>
  <c r="A442" i="2"/>
  <c r="A445" i="2"/>
  <c r="A446" i="2"/>
  <c r="A447" i="2"/>
  <c r="A451" i="2"/>
  <c r="A455" i="2"/>
  <c r="A456" i="2"/>
  <c r="A457" i="2"/>
  <c r="A458" i="2"/>
  <c r="A459" i="2"/>
  <c r="A461" i="2"/>
  <c r="A462" i="2"/>
  <c r="A465" i="2"/>
  <c r="A466" i="2"/>
  <c r="A468" i="2"/>
  <c r="A470" i="2"/>
  <c r="A473" i="2"/>
  <c r="A477" i="2"/>
  <c r="A478" i="2"/>
  <c r="A479" i="2"/>
  <c r="A481" i="2"/>
  <c r="A482" i="2"/>
  <c r="A491" i="2"/>
  <c r="A492" i="2"/>
  <c r="A500" i="2"/>
  <c r="A499" i="2"/>
  <c r="A498" i="2"/>
  <c r="A502" i="2"/>
  <c r="A503" i="2"/>
  <c r="A505" i="2"/>
  <c r="A26" i="2"/>
  <c r="A13" i="2"/>
  <c r="A16" i="2"/>
  <c r="A32" i="2"/>
  <c r="A31" i="2"/>
  <c r="A30" i="2"/>
  <c r="A29" i="2"/>
  <c r="A28" i="2"/>
  <c r="A27" i="2"/>
  <c r="A21" i="2"/>
  <c r="A20" i="2"/>
  <c r="A19" i="2"/>
  <c r="A18" i="2"/>
  <c r="A17" i="2"/>
  <c r="A15" i="2"/>
  <c r="A14" i="2"/>
  <c r="A12" i="2"/>
  <c r="A11" i="2"/>
  <c r="A7" i="2"/>
  <c r="A4" i="2"/>
  <c r="A3" i="2"/>
  <c r="A2" i="2"/>
  <c r="A1" i="2"/>
  <c r="A472" i="2"/>
  <c r="A467" i="2"/>
  <c r="A410" i="2"/>
  <c r="A409" i="2"/>
  <c r="A377" i="2"/>
  <c r="A359" i="2"/>
  <c r="A333" i="2"/>
  <c r="A70" i="2"/>
  <c r="A103" i="2"/>
  <c r="A104" i="2"/>
  <c r="A105" i="2"/>
  <c r="A106" i="2"/>
  <c r="A107" i="2"/>
  <c r="A108" i="2"/>
  <c r="A109" i="2"/>
  <c r="A180" i="2"/>
  <c r="A182" i="2"/>
  <c r="A183" i="2"/>
  <c r="A184" i="2"/>
  <c r="A185" i="2"/>
  <c r="A187" i="2"/>
  <c r="A204" i="2"/>
  <c r="A247" i="2"/>
  <c r="A358" i="2"/>
  <c r="A9" i="2"/>
  <c r="A113" i="2" l="1"/>
  <c r="A181" i="2"/>
  <c r="A188" i="2"/>
  <c r="A210" i="2"/>
  <c r="A217" i="2"/>
  <c r="A218" i="2"/>
  <c r="A254" i="2"/>
  <c r="A255" i="2"/>
  <c r="A256" i="2"/>
  <c r="A257" i="2"/>
  <c r="A259" i="2"/>
  <c r="A260" i="2"/>
  <c r="A261" i="2"/>
  <c r="A262" i="2"/>
  <c r="A266" i="2"/>
  <c r="A269" i="2"/>
  <c r="A284" i="2"/>
  <c r="A306" i="2"/>
  <c r="A308" i="2"/>
  <c r="A349" i="2"/>
  <c r="A351" i="2"/>
  <c r="A469" i="2"/>
  <c r="A490" i="2"/>
  <c r="A8" i="2"/>
  <c r="A35" i="2"/>
  <c r="A36" i="2"/>
  <c r="A40" i="2"/>
  <c r="A41" i="2"/>
  <c r="A43" i="2"/>
  <c r="A57" i="2"/>
  <c r="A58" i="2"/>
  <c r="A59" i="2"/>
  <c r="A61" i="2"/>
  <c r="A63" i="2"/>
  <c r="A64" i="2"/>
  <c r="A77" i="2"/>
  <c r="A78" i="2"/>
  <c r="A86" i="2"/>
  <c r="A87" i="2"/>
  <c r="A88" i="2"/>
  <c r="A89" i="2"/>
  <c r="A91" i="2"/>
  <c r="A92" i="2"/>
  <c r="A93" i="2"/>
  <c r="A94" i="2"/>
  <c r="A95" i="2"/>
  <c r="A96" i="2"/>
  <c r="A100" i="2"/>
  <c r="A110" i="2"/>
  <c r="A111" i="2"/>
  <c r="A116" i="2"/>
  <c r="A119" i="2"/>
  <c r="A123" i="2"/>
  <c r="A130" i="2"/>
  <c r="A135" i="2"/>
  <c r="A143" i="2"/>
  <c r="A146" i="2"/>
  <c r="A147" i="2"/>
  <c r="A149" i="2"/>
  <c r="A154" i="2"/>
  <c r="A157" i="2"/>
  <c r="A160" i="2"/>
  <c r="A161" i="2"/>
  <c r="A165" i="2"/>
  <c r="A166" i="2"/>
  <c r="A167" i="2"/>
  <c r="A170" i="2"/>
  <c r="A172" i="2"/>
  <c r="A173" i="2"/>
  <c r="A174" i="2"/>
  <c r="A177" i="2"/>
  <c r="A191" i="2"/>
  <c r="A194" i="2"/>
  <c r="A195" i="2"/>
  <c r="A196" i="2"/>
  <c r="A197" i="2"/>
  <c r="A202" i="2"/>
  <c r="A205" i="2"/>
  <c r="A206" i="2"/>
  <c r="A211" i="2"/>
  <c r="A214" i="2"/>
  <c r="A215" i="2"/>
  <c r="A252" i="2"/>
  <c r="A253" i="2"/>
  <c r="A268" i="2"/>
  <c r="A273" i="2"/>
  <c r="A275" i="2"/>
  <c r="A280" i="2"/>
  <c r="A285" i="2"/>
  <c r="A286" i="2"/>
  <c r="A287" i="2"/>
  <c r="A288" i="2"/>
  <c r="A290" i="2"/>
  <c r="A294" i="2"/>
  <c r="A295" i="2"/>
  <c r="A297" i="2"/>
  <c r="A298" i="2"/>
  <c r="A299" i="2"/>
  <c r="A300" i="2"/>
  <c r="A302" i="2"/>
  <c r="A304" i="2"/>
  <c r="A305" i="2"/>
  <c r="A313" i="2"/>
  <c r="A317" i="2"/>
  <c r="A319" i="2"/>
  <c r="A320" i="2"/>
  <c r="A321" i="2"/>
  <c r="A323" i="2"/>
  <c r="A324" i="2"/>
  <c r="A325" i="2"/>
  <c r="A326" i="2"/>
  <c r="A327" i="2"/>
  <c r="A332" i="2"/>
  <c r="A334" i="2"/>
  <c r="A335" i="2"/>
  <c r="A341" i="2"/>
  <c r="A342" i="2"/>
  <c r="A343" i="2"/>
  <c r="A344" i="2"/>
  <c r="A346" i="2"/>
  <c r="A350" i="2"/>
  <c r="A360" i="2"/>
  <c r="A361" i="2"/>
  <c r="A362" i="2"/>
  <c r="A369" i="2"/>
  <c r="A370" i="2"/>
  <c r="A372" i="2"/>
  <c r="A374" i="2"/>
  <c r="A381" i="2"/>
  <c r="A383" i="2"/>
  <c r="A387" i="2"/>
  <c r="A390" i="2"/>
  <c r="A402" i="2"/>
  <c r="A416" i="2"/>
  <c r="A423" i="2"/>
  <c r="A432" i="2"/>
  <c r="A433" i="2"/>
  <c r="A443" i="2"/>
  <c r="A444" i="2"/>
  <c r="A448" i="2"/>
  <c r="A449" i="2"/>
  <c r="A450" i="2"/>
  <c r="A452" i="2"/>
  <c r="A453" i="2"/>
  <c r="A454" i="2"/>
  <c r="A460" i="2"/>
  <c r="A463" i="2"/>
  <c r="A464" i="2"/>
  <c r="A476" i="2"/>
  <c r="A480" i="2"/>
  <c r="A489" i="2"/>
  <c r="A493" i="2"/>
  <c r="A494" i="2"/>
  <c r="A495" i="2"/>
  <c r="A496" i="2"/>
  <c r="A497" i="2"/>
  <c r="A507" i="2"/>
  <c r="A10" i="2"/>
  <c r="A33" i="2"/>
  <c r="A34" i="2"/>
  <c r="A25" i="2"/>
  <c r="A24" i="2"/>
  <c r="A23" i="2"/>
  <c r="A65" i="2"/>
  <c r="A118" i="2"/>
  <c r="A371" i="2"/>
  <c r="A382" i="2"/>
  <c r="A406" i="2"/>
  <c r="A408" i="2"/>
  <c r="A425" i="2"/>
  <c r="A426" i="2"/>
  <c r="A428" i="2"/>
  <c r="A429" i="2"/>
  <c r="A430" i="2"/>
  <c r="A115" i="2"/>
  <c r="A122" i="2"/>
  <c r="A142" i="2"/>
  <c r="A144" i="2"/>
  <c r="A145" i="2"/>
  <c r="A289" i="2"/>
  <c r="A506" i="2"/>
  <c r="A121" i="2"/>
  <c r="A131" i="2"/>
  <c r="A133" i="2"/>
  <c r="A134" i="2"/>
  <c r="A138" i="2"/>
  <c r="A140" i="2"/>
  <c r="A141" i="2"/>
  <c r="A132" i="2"/>
  <c r="A251" i="2"/>
  <c r="A366" i="2"/>
  <c r="A384" i="2"/>
  <c r="A509" i="2"/>
  <c r="A367" i="2"/>
  <c r="A510" i="2"/>
  <c r="A271" i="2" l="1"/>
  <c r="A352" i="2"/>
  <c r="A353" i="2"/>
  <c r="A354" i="2"/>
  <c r="A373" i="2"/>
  <c r="A414" i="2"/>
  <c r="A415" i="2"/>
  <c r="A418" i="2"/>
  <c r="A427" i="2"/>
  <c r="A434" i="2"/>
  <c r="A471" i="2"/>
  <c r="A483" i="2"/>
  <c r="A484" i="2"/>
  <c r="A485" i="2"/>
  <c r="A486" i="2"/>
  <c r="A487" i="2"/>
  <c r="A488" i="2"/>
  <c r="A511" i="2"/>
  <c r="A512" i="2"/>
  <c r="A307" i="2"/>
  <c r="A364" i="2"/>
  <c r="A365" i="2"/>
  <c r="A508" i="2"/>
  <c r="A22" i="2"/>
  <c r="A81" i="2"/>
  <c r="A97" i="2"/>
  <c r="A98" i="2"/>
  <c r="A186" i="2"/>
  <c r="A189" i="2"/>
  <c r="A190" i="2"/>
  <c r="A250" i="2"/>
  <c r="A310" i="2"/>
  <c r="A311" i="2"/>
  <c r="A312" i="2"/>
  <c r="A348" i="2"/>
  <c r="A368" i="2"/>
  <c r="A399" i="2"/>
  <c r="A417" i="2"/>
  <c r="A431" i="2"/>
  <c r="A437" i="2"/>
  <c r="A439" i="2"/>
  <c r="A440" i="2"/>
  <c r="A441" i="2"/>
  <c r="A474" i="2"/>
  <c r="A475" i="2"/>
  <c r="A501" i="2"/>
  <c r="A50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8" fontId="0" fillId="0" borderId="0" xfId="0" applyNumberFormat="1"/>
    <xf numFmtId="18" fontId="0" fillId="0" borderId="0" xfId="0" applyNumberFormat="1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Sales">
      <tp t="e">
        <v>#N/A</v>
        <stp>1</stp>
        <tr r="A103" s="2"/>
        <tr r="A104" s="2"/>
        <tr r="A105" s="2"/>
        <tr r="A106" s="2"/>
        <tr r="A107" s="2"/>
        <tr r="A10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7FF4-D6C8-48E4-BDC3-59DA39DA26D9}">
  <dimension ref="A1:A512"/>
  <sheetViews>
    <sheetView tabSelected="1" topLeftCell="A174" workbookViewId="0">
      <selection activeCell="G6" sqref="G6"/>
    </sheetView>
  </sheetViews>
  <sheetFormatPr defaultRowHeight="15"/>
  <cols>
    <col min="1" max="1" width="43.140625" bestFit="1" customWidth="1"/>
  </cols>
  <sheetData>
    <row r="1" spans="1:1">
      <c r="A1">
        <f>ABS(-1)</f>
        <v>1</v>
      </c>
    </row>
    <row r="2" spans="1:1">
      <c r="A2">
        <f>ACCRINT(39508, 39691, 39569, 0.1, 1000, 2, 0)</f>
        <v>16.666666666666664</v>
      </c>
    </row>
    <row r="3" spans="1:1">
      <c r="A3">
        <f>ACCRINTM(39539, 39614, 0.1, 1000, 3)</f>
        <v>20.547945205479451</v>
      </c>
    </row>
    <row r="4" spans="1:1">
      <c r="A4">
        <f>ACOS(-0.5)</f>
        <v>2.0943951023931957</v>
      </c>
    </row>
    <row r="5" spans="1:1">
      <c r="A5">
        <f>ACOSH(10)</f>
        <v>2.9932228461263808</v>
      </c>
    </row>
    <row r="6" spans="1:1">
      <c r="A6">
        <f>_xlfn.ACOT(2)</f>
        <v>0.46364760900080609</v>
      </c>
    </row>
    <row r="7" spans="1:1">
      <c r="A7">
        <f>_xlfn.ACOTH(6)</f>
        <v>0.16823611831060645</v>
      </c>
    </row>
    <row r="8" spans="1:1">
      <c r="A8">
        <f>_xlfn.AGGREGATE(4, 6, A1:A4)</f>
        <v>20.547945205479451</v>
      </c>
    </row>
    <row r="9" spans="1:1">
      <c r="A9" t="str">
        <f>ADDRESS(2,3,1,FALSE,"EXCEL SHEET")</f>
        <v>'EXCEL SHEET'!R2C3</v>
      </c>
    </row>
    <row r="10" spans="1:1">
      <c r="A10" t="e">
        <f>AMORDEGRC(A2,A3,A4,A5,A6,A7,A8)</f>
        <v>#NUM!</v>
      </c>
    </row>
    <row r="11" spans="1:1">
      <c r="A11">
        <f>AMORLINC(2400, 39679, 39813, 300, 1, 0.15, 1)</f>
        <v>360</v>
      </c>
    </row>
    <row r="12" spans="1:1">
      <c r="A12" t="b">
        <f>AND(TRUE, FALSE)</f>
        <v>0</v>
      </c>
    </row>
    <row r="13" spans="1:1">
      <c r="A13">
        <f>_xlfn.ARABIC("LVII")</f>
        <v>57</v>
      </c>
    </row>
    <row r="14" spans="1:1">
      <c r="A14">
        <f>AREAS(B2:D4)</f>
        <v>1</v>
      </c>
    </row>
    <row r="15" spans="1:1">
      <c r="A15" t="str">
        <f>_xlfn.ARRAYTOTEXT(B1:B3)</f>
        <v xml:space="preserve">, , </v>
      </c>
    </row>
    <row r="16" spans="1:1">
      <c r="A16" t="str">
        <f>ASC("EXCEL")</f>
        <v>EXCEL</v>
      </c>
    </row>
    <row r="17" spans="1:1">
      <c r="A17">
        <f>ASIN(-0.5)</f>
        <v>-0.52359877559829893</v>
      </c>
    </row>
    <row r="18" spans="1:1">
      <c r="A18">
        <f>ASINH(10)</f>
        <v>2.9982229502979698</v>
      </c>
    </row>
    <row r="19" spans="1:1">
      <c r="A19">
        <f>ATAN(1)</f>
        <v>0.78539816339744828</v>
      </c>
    </row>
    <row r="20" spans="1:1">
      <c r="A20">
        <f>ATAN2(4, 0)</f>
        <v>0</v>
      </c>
    </row>
    <row r="21" spans="1:1">
      <c r="A21">
        <f>ATANH(-0.1)</f>
        <v>-0.10033534773107562</v>
      </c>
    </row>
    <row r="22" spans="1:1">
      <c r="A22">
        <f>AVEDEV(A2:A8)</f>
        <v>8.7302744197146644</v>
      </c>
    </row>
    <row r="23" spans="1:1">
      <c r="A23">
        <f>AVERAGE(A2:A6)</f>
        <v>8.5531754859332985</v>
      </c>
    </row>
    <row r="24" spans="1:1">
      <c r="A24">
        <f>AVERAGEA(A2:A6)</f>
        <v>8.5531754859332985</v>
      </c>
    </row>
    <row r="25" spans="1:1">
      <c r="A25">
        <f>AVERAGEIF(A2:A5, "&lt;23000")</f>
        <v>10.575557455166422</v>
      </c>
    </row>
    <row r="26" spans="1:1">
      <c r="A26" t="e">
        <f>AVERAGEIFS(A1:A5, A2:A5, "Bellevue")</f>
        <v>#VALUE!</v>
      </c>
    </row>
    <row r="27" spans="1:1">
      <c r="A27" t="str">
        <f>BAHTTEXT(1234)</f>
        <v>หนึ่งพันสองร้อยสามสิบสี่บาทถ้วน</v>
      </c>
    </row>
    <row r="28" spans="1:1">
      <c r="A28" t="str">
        <f>_xlfn.BASE(7, 2)</f>
        <v>111</v>
      </c>
    </row>
    <row r="29" spans="1:1">
      <c r="A29">
        <f>BESSELI(1.5, 1)</f>
        <v>0.98166642847516605</v>
      </c>
    </row>
    <row r="30" spans="1:1">
      <c r="A30">
        <f>BESSELJ(1.9, 2)</f>
        <v>0.3299258286697852</v>
      </c>
    </row>
    <row r="31" spans="1:1">
      <c r="A31">
        <f>BESSELK(1.5, 1)</f>
        <v>0.27738780363225868</v>
      </c>
    </row>
    <row r="32" spans="1:1">
      <c r="A32">
        <f>BESSELY(1, 2)</f>
        <v>-1.6506826133039476</v>
      </c>
    </row>
    <row r="33" spans="1:1">
      <c r="A33" t="e">
        <f>BETADIST(A2,A3,A4,A5,A6)</f>
        <v>#NUM!</v>
      </c>
    </row>
    <row r="34" spans="1:1">
      <c r="A34" t="e">
        <f>_xlfn.BETA.DIST(A2,A3,A4,TRUE,A5,A6)</f>
        <v>#NUM!</v>
      </c>
    </row>
    <row r="35" spans="1:1">
      <c r="A35" t="e">
        <f>BETAINV(A2,A3,A4,A5,A6)</f>
        <v>#NUM!</v>
      </c>
    </row>
    <row r="36" spans="1:1">
      <c r="A36" t="e">
        <f>_xlfn.BETA.INV(A2,A3,A4,A5,A6)</f>
        <v>#NUM!</v>
      </c>
    </row>
    <row r="37" spans="1:1">
      <c r="A37">
        <f>BIN2DEC(1100100)</f>
        <v>100</v>
      </c>
    </row>
    <row r="38" spans="1:1">
      <c r="A38" t="str">
        <f>BIN2HEX(11111011, 4)</f>
        <v>00FB</v>
      </c>
    </row>
    <row r="39" spans="1:1">
      <c r="A39" t="str">
        <f>BIN2OCT(1001, 3)</f>
        <v>011</v>
      </c>
    </row>
    <row r="40" spans="1:1">
      <c r="A40" t="e">
        <f>BINOMDIST(A2,A3,A4,FALSE)</f>
        <v>#NUM!</v>
      </c>
    </row>
    <row r="41" spans="1:1">
      <c r="A41" t="e">
        <f>_xlfn.BINOM.DIST(A2,A3,A4,FALSE)</f>
        <v>#NUM!</v>
      </c>
    </row>
    <row r="42" spans="1:1">
      <c r="A42">
        <f>_xlfn.BINOM.DIST.RANGE(60,0.75,48)</f>
        <v>8.3974967429047503E-2</v>
      </c>
    </row>
    <row r="43" spans="1:1">
      <c r="A43" t="e">
        <f>_xlfn.BINOM.INV(A2,A3,A4)</f>
        <v>#NUM!</v>
      </c>
    </row>
    <row r="44" spans="1:1">
      <c r="A44">
        <f>_xlfn.BITAND(1,5)</f>
        <v>1</v>
      </c>
    </row>
    <row r="45" spans="1:1">
      <c r="A45">
        <f>_xlfn.BITLSHIFT(4,2)</f>
        <v>16</v>
      </c>
    </row>
    <row r="46" spans="1:1">
      <c r="A46">
        <f>_xlfn.BITOR(23,10)</f>
        <v>31</v>
      </c>
    </row>
    <row r="47" spans="1:1">
      <c r="A47">
        <f>_xlfn.BITRSHIFT(13,2)</f>
        <v>3</v>
      </c>
    </row>
    <row r="48" spans="1:1">
      <c r="A48">
        <f>_xlfn.BITXOR(5,3)</f>
        <v>6</v>
      </c>
    </row>
    <row r="49" spans="1:1">
      <c r="A49" t="e">
        <f ca="1">_xludf.BYCOL()</f>
        <v>#NAME?</v>
      </c>
    </row>
    <row r="50" spans="1:1">
      <c r="A50" t="e">
        <f ca="1">_xludf.BYROW()</f>
        <v>#NAME?</v>
      </c>
    </row>
    <row r="51" spans="1:1">
      <c r="A51" t="e">
        <f ca="1">_xludf.CALL</f>
        <v>#NAME?</v>
      </c>
    </row>
    <row r="52" spans="1:1">
      <c r="A52">
        <f>CEILING(2.5, 1)</f>
        <v>3</v>
      </c>
    </row>
    <row r="53" spans="1:1">
      <c r="A53">
        <f>_xlfn.CEILING.MATH(24.3,5)</f>
        <v>25</v>
      </c>
    </row>
    <row r="54" spans="1:1">
      <c r="A54">
        <f>_xlfn.CEILING.PRECISE(4.3)</f>
        <v>5</v>
      </c>
    </row>
    <row r="55" spans="1:1">
      <c r="A55">
        <f ca="1">CELL("row", A1)</f>
        <v>1</v>
      </c>
    </row>
    <row r="56" spans="1:1">
      <c r="A56" t="str">
        <f>CHAR(65)</f>
        <v>A</v>
      </c>
    </row>
    <row r="57" spans="1:1">
      <c r="A57">
        <f>CHIDIST(A2,A3)</f>
        <v>0.67450016353597164</v>
      </c>
    </row>
    <row r="58" spans="1:1">
      <c r="A58" t="e">
        <f>CHIINV(A2,A3)</f>
        <v>#NUM!</v>
      </c>
    </row>
    <row r="59" spans="1:1">
      <c r="A59">
        <f>CHITEST(A2:B4,A6:B8)</f>
        <v>0</v>
      </c>
    </row>
    <row r="60" spans="1:1">
      <c r="A60">
        <f>_xlfn.CHISQ.DIST(0.5,1,TRUE)</f>
        <v>0.52049987781304652</v>
      </c>
    </row>
    <row r="61" spans="1:1">
      <c r="A61">
        <f>_xlfn.CHISQ.DIST.RT(A2,A3)</f>
        <v>0.67450016353597164</v>
      </c>
    </row>
    <row r="62" spans="1:1">
      <c r="A62">
        <f>_xlfn.CHISQ.INV(0.93,1)</f>
        <v>3.2830202867595295</v>
      </c>
    </row>
    <row r="63" spans="1:1">
      <c r="A63" t="e">
        <f>_xlfn.CHISQ.INV.RT(A2,A3)</f>
        <v>#NUM!</v>
      </c>
    </row>
    <row r="64" spans="1:1">
      <c r="A64">
        <f>_xlfn.CHISQ.TEST(A2:B4,A6:B8)</f>
        <v>0</v>
      </c>
    </row>
    <row r="65" spans="1:1">
      <c r="A65">
        <f>CHOOSE(2,A2,A3,A4,A5)</f>
        <v>20.547945205479451</v>
      </c>
    </row>
    <row r="66" spans="1:1">
      <c r="A66" t="e">
        <f ca="1">_xludf.CHOOSECOLS()</f>
        <v>#NAME?</v>
      </c>
    </row>
    <row r="67" spans="1:1">
      <c r="A67" t="e">
        <f ca="1">_xludf.CHOOSEROWS()</f>
        <v>#NAME?</v>
      </c>
    </row>
    <row r="68" spans="1:1">
      <c r="A68" t="str">
        <f>CHAR(9)&amp;"Monthly report"&amp;CHAR(10)</f>
        <v xml:space="preserve">	Monthly report
</v>
      </c>
    </row>
    <row r="69" spans="1:1">
      <c r="A69">
        <f>CODE("A")</f>
        <v>65</v>
      </c>
    </row>
    <row r="70" spans="1:1">
      <c r="A70">
        <f>COLUMN()</f>
        <v>1</v>
      </c>
    </row>
    <row r="71" spans="1:1">
      <c r="A71">
        <f>COLUMNS(C1:E4)</f>
        <v>3</v>
      </c>
    </row>
    <row r="72" spans="1:1">
      <c r="A72">
        <f>COMBIN(8,2)</f>
        <v>28</v>
      </c>
    </row>
    <row r="73" spans="1:1">
      <c r="A73">
        <f>_xlfn.COMBINA(4,3)</f>
        <v>20</v>
      </c>
    </row>
    <row r="74" spans="1:1">
      <c r="A74" t="str">
        <f>COMPLEX(3,4)</f>
        <v>3+4i</v>
      </c>
    </row>
    <row r="75" spans="1:1">
      <c r="A75" t="e">
        <f ca="1">_xludf.CONCAT()</f>
        <v>#NAME?</v>
      </c>
    </row>
    <row r="76" spans="1:1">
      <c r="A76" t="str">
        <f>CONCATENATE(B3, " &amp; ", C3)</f>
        <v xml:space="preserve"> &amp; </v>
      </c>
    </row>
    <row r="77" spans="1:1">
      <c r="A77" t="e">
        <f>CONFIDENCE(A2,A3,A4)</f>
        <v>#NUM!</v>
      </c>
    </row>
    <row r="78" spans="1:1">
      <c r="A78" t="e">
        <f>_xlfn.CONFIDENCE.NORM(A2,A3,A4)</f>
        <v>#NUM!</v>
      </c>
    </row>
    <row r="79" spans="1:1">
      <c r="A79">
        <f>_xlfn.CONFIDENCE.T(0.05,1,50)</f>
        <v>0.28419685549572982</v>
      </c>
    </row>
    <row r="80" spans="1:1">
      <c r="A80">
        <f>CONVERT(1, "lbm", "kg")</f>
        <v>0.45359237000000002</v>
      </c>
    </row>
    <row r="81" spans="1:1">
      <c r="A81">
        <f>CORREL(A1:A2, A2:A3)</f>
        <v>1</v>
      </c>
    </row>
    <row r="82" spans="1:1">
      <c r="A82">
        <f>COS(1.047)</f>
        <v>0.50017107459707011</v>
      </c>
    </row>
    <row r="83" spans="1:1">
      <c r="A83">
        <f>COSH(4)</f>
        <v>27.308232836016487</v>
      </c>
    </row>
    <row r="84" spans="1:1">
      <c r="A84">
        <f>_xlfn.COT(30)</f>
        <v>-0.15611995216165922</v>
      </c>
    </row>
    <row r="85" spans="1:1">
      <c r="A85">
        <f>_xlfn.COTH(2)</f>
        <v>1.0373147207275479</v>
      </c>
    </row>
    <row r="86" spans="1:1">
      <c r="A86">
        <f>COUNT(A2:A7)</f>
        <v>6</v>
      </c>
    </row>
    <row r="87" spans="1:1">
      <c r="A87">
        <f>COUNTA(A2:A6)</f>
        <v>5</v>
      </c>
    </row>
    <row r="88" spans="1:1">
      <c r="A88">
        <f>COUNTBLANK(A2:B4)</f>
        <v>3</v>
      </c>
    </row>
    <row r="89" spans="1:1">
      <c r="A89">
        <f>COUNTIF(A2:A5,"apples")</f>
        <v>0</v>
      </c>
    </row>
    <row r="90" spans="1:1">
      <c r="A90">
        <f>COUNTIFS(B2:D2,"=Yes")</f>
        <v>0</v>
      </c>
    </row>
    <row r="91" spans="1:1">
      <c r="A91">
        <f>COUPDAYBS(A2,A3,A4,A5)</f>
        <v>16</v>
      </c>
    </row>
    <row r="92" spans="1:1">
      <c r="A92">
        <f>COUPDAYS(A2,A3,A4,A5)</f>
        <v>180</v>
      </c>
    </row>
    <row r="93" spans="1:1">
      <c r="A93">
        <f>COUPDAYSNC(A2,A3,A4,A5)</f>
        <v>4</v>
      </c>
    </row>
    <row r="94" spans="1:1">
      <c r="A94">
        <f>COUPNCD(A2,A3,A4,A5)</f>
        <v>20</v>
      </c>
    </row>
    <row r="95" spans="1:1">
      <c r="A95" t="e">
        <f>COUPNUM(A2,A3,A4,A5)</f>
        <v>#NUM!</v>
      </c>
    </row>
    <row r="96" spans="1:1">
      <c r="A96">
        <f>COUPPCD(A2,A3,A4,A5)</f>
        <v>0</v>
      </c>
    </row>
    <row r="97" spans="1:1">
      <c r="A97" t="e">
        <f>COVAR(A2:A6, B2:B6)</f>
        <v>#DIV/0!</v>
      </c>
    </row>
    <row r="98" spans="1:1">
      <c r="A98" t="e">
        <f>_xlfn.COVARIANCE.P(A2:A6, B2:B6)</f>
        <v>#DIV/0!</v>
      </c>
    </row>
    <row r="99" spans="1:1">
      <c r="A99">
        <f>_xlfn.COVARIANCE.S({2,4,8},{5,11,12})</f>
        <v>9.6666666666666679</v>
      </c>
    </row>
    <row r="100" spans="1:1">
      <c r="A100" t="e">
        <f>CRITBINOM(A2,A3,A4)</f>
        <v>#NUM!</v>
      </c>
    </row>
    <row r="101" spans="1:1">
      <c r="A101">
        <f>_xlfn.CSC(15)</f>
        <v>1.5377805615408537</v>
      </c>
    </row>
    <row r="102" spans="1:1">
      <c r="A102">
        <f>_xlfn.CSCH(1.5)</f>
        <v>0.46964244059522464</v>
      </c>
    </row>
    <row r="103" spans="1:1">
      <c r="A103" t="e">
        <f>CUBEKPIMEMBER("Sales","MySalesKPI",1)</f>
        <v>#NAME?</v>
      </c>
    </row>
    <row r="104" spans="1:1">
      <c r="A104" t="e">
        <f>CUBEMEMBER("Sales","[Time].[Fiscal].[2004]")</f>
        <v>#NAME?</v>
      </c>
    </row>
    <row r="105" spans="1:1">
      <c r="A105" t="e">
        <f>CUBEMEMBERPROPERTY("Sales","[Time].[Fiscal].[2014]",$A$3)</f>
        <v>#NAME?</v>
      </c>
    </row>
    <row r="106" spans="1:1">
      <c r="A106" t="e">
        <f>CUBERANKEDMEMBER("Sales",$D$4,1,"Top Month")</f>
        <v>#NAME?</v>
      </c>
    </row>
    <row r="107" spans="1:1">
      <c r="A107" t="e">
        <f>CUBESET("Sales","[Product].[All Products].Children","Products",1,"[Measures].[Sales Amount]")</f>
        <v>#NAME?</v>
      </c>
    </row>
    <row r="108" spans="1:1">
      <c r="A108" t="e">
        <f>CUBESETCOUNT(A3)</f>
        <v>#N/A</v>
      </c>
    </row>
    <row r="109" spans="1:1">
      <c r="A109" t="e">
        <f>CUBEVALUE("Sales",$B$7,D$12,$A23)</f>
        <v>#NAME?</v>
      </c>
    </row>
    <row r="110" spans="1:1">
      <c r="A110">
        <f>CUMIPMT(A2/12,A3*12,A4,13,24,0)</f>
        <v>-34.906585039886593</v>
      </c>
    </row>
    <row r="111" spans="1:1">
      <c r="A111">
        <f>CUMPRINC(A2/12,A3*12,A4,13,24,0)</f>
        <v>-1.3930055418904765E-84</v>
      </c>
    </row>
    <row r="112" spans="1:1">
      <c r="A112" s="2">
        <f>DATE(2024,1,1)</f>
        <v>45292</v>
      </c>
    </row>
    <row r="113" spans="1:1">
      <c r="A113">
        <f>DATEDIF(A1,A2,"Y")</f>
        <v>0</v>
      </c>
    </row>
    <row r="114" spans="1:1">
      <c r="A114">
        <f>DATEVALUE("22-MAY-2011")</f>
        <v>40685</v>
      </c>
    </row>
    <row r="115" spans="1:1">
      <c r="A115" t="e">
        <f>DAVERAGE(A4:E10, "Yield", A1:B2)</f>
        <v>#VALUE!</v>
      </c>
    </row>
    <row r="116" spans="1:1">
      <c r="A116">
        <f>DAY(A2)</f>
        <v>16</v>
      </c>
    </row>
    <row r="117" spans="1:1">
      <c r="A117">
        <f>_xlfn.DAYS("15-MAR-2021","1-FEB-2021")</f>
        <v>42</v>
      </c>
    </row>
    <row r="118" spans="1:1">
      <c r="A118">
        <f>DAYS360(A3,A4)</f>
        <v>-18</v>
      </c>
    </row>
    <row r="119" spans="1:1">
      <c r="A119" s="3">
        <f>DB(A2,A3,A4,1,7)</f>
        <v>-1.0208333333333333</v>
      </c>
    </row>
    <row r="120" spans="1:1">
      <c r="A120" t="str">
        <f>DBCS("EXCEL")</f>
        <v>EXCEL</v>
      </c>
    </row>
    <row r="121" spans="1:1">
      <c r="A121" t="e">
        <f>DCOUNT(A5:E11, "Age", A1:F2)</f>
        <v>#VALUE!</v>
      </c>
    </row>
    <row r="122" spans="1:1">
      <c r="A122" t="e">
        <f>DCOUNTA(A4:E10, "Profit", A1:F2)</f>
        <v>#VALUE!</v>
      </c>
    </row>
    <row r="123" spans="1:1">
      <c r="A123" s="3">
        <f>DDB(A2,A3,A4*365,1)</f>
        <v>0</v>
      </c>
    </row>
    <row r="124" spans="1:1">
      <c r="A124" t="str">
        <f>DEC2BIN(9, 4)</f>
        <v>1001</v>
      </c>
    </row>
    <row r="125" spans="1:1">
      <c r="A125" t="str">
        <f>DEC2HEX(100, 4)</f>
        <v>0064</v>
      </c>
    </row>
    <row r="126" spans="1:1">
      <c r="A126" t="str">
        <f>DEC2OCT(58, 3)</f>
        <v>072</v>
      </c>
    </row>
    <row r="127" spans="1:1">
      <c r="A127">
        <f>_xlfn.DECIMAL(111,2)</f>
        <v>7</v>
      </c>
    </row>
    <row r="128" spans="1:1">
      <c r="A128">
        <f>DEGREES(PI())</f>
        <v>180</v>
      </c>
    </row>
    <row r="129" spans="1:1">
      <c r="A129">
        <f>DELTA(5, 4)</f>
        <v>0</v>
      </c>
    </row>
    <row r="130" spans="1:1">
      <c r="A130">
        <f>DEVSQ(A2:A8)</f>
        <v>560.09277366412891</v>
      </c>
    </row>
    <row r="131" spans="1:1">
      <c r="A131" t="e">
        <f>DGET(A5:E11, "Yield", A1:A3)</f>
        <v>#VALUE!</v>
      </c>
    </row>
    <row r="132" spans="1:1">
      <c r="A132">
        <f>DISC(A2,A3,A4,A5,A6)</f>
        <v>27.025885172791142</v>
      </c>
    </row>
    <row r="133" spans="1:1">
      <c r="A133" t="e">
        <f>DMAX(A5:E11, "Profit", A1:F3)</f>
        <v>#VALUE!</v>
      </c>
    </row>
    <row r="134" spans="1:1">
      <c r="A134" t="e">
        <f>DMIN(A5:E11, "Profit", A1:F3)</f>
        <v>#VALUE!</v>
      </c>
    </row>
    <row r="135" spans="1:1">
      <c r="A135" t="str">
        <f>DOLLAR(A2, 2)</f>
        <v>₹ 16.67</v>
      </c>
    </row>
    <row r="136" spans="1:1">
      <c r="A136">
        <f>DOLLARDE(1.02,16)</f>
        <v>1.125</v>
      </c>
    </row>
    <row r="137" spans="1:1">
      <c r="A137">
        <f>DOLLARFR(1.125,16)</f>
        <v>1.02</v>
      </c>
    </row>
    <row r="138" spans="1:1">
      <c r="A138" t="e">
        <f>DPRODUCT(A5:E11, "Yield", A1:F3)</f>
        <v>#VALUE!</v>
      </c>
    </row>
    <row r="139" spans="1:1">
      <c r="A139" t="e">
        <f ca="1">_xludf.DROP()</f>
        <v>#NAME?</v>
      </c>
    </row>
    <row r="140" spans="1:1">
      <c r="A140" t="e">
        <f>DSTDEV(A5:E11, "Yield", A1:A3)</f>
        <v>#VALUE!</v>
      </c>
    </row>
    <row r="141" spans="1:1">
      <c r="A141" t="e">
        <f>DSTDEVP(A5:E11, "Yield", A1:A3)</f>
        <v>#VALUE!</v>
      </c>
    </row>
    <row r="142" spans="1:1">
      <c r="A142" t="e">
        <f>DSUM(A4:E10,"Profit", A1:F3)</f>
        <v>#VALUE!</v>
      </c>
    </row>
    <row r="143" spans="1:1">
      <c r="A143" t="e">
        <f>DURATION(A2,A3,A4,A5,A6,A7)</f>
        <v>#NUM!</v>
      </c>
    </row>
    <row r="144" spans="1:1">
      <c r="A144" t="e">
        <f>DVAR(A4:E10, "Yield", A1:A3)</f>
        <v>#VALUE!</v>
      </c>
    </row>
    <row r="145" spans="1:1">
      <c r="A145" t="e">
        <f>DVARP(A4:E10, "Yield", A1:A3)</f>
        <v>#VALUE!</v>
      </c>
    </row>
    <row r="146" spans="1:1">
      <c r="A146">
        <f>EDATE(A2,1)</f>
        <v>47</v>
      </c>
    </row>
    <row r="147" spans="1:1">
      <c r="A147">
        <f>EFFECT(A2,A3)</f>
        <v>184003.6064636551</v>
      </c>
    </row>
    <row r="148" spans="1:1">
      <c r="A148" t="e">
        <f>_xlfn.ENCODEURL("http://contoso.sharepoint.com/Finance/Profit and Loss Statement.xlsx")</f>
        <v>#VALUE!</v>
      </c>
    </row>
    <row r="149" spans="1:1">
      <c r="A149">
        <f>EOMONTH(A2,1)</f>
        <v>59</v>
      </c>
    </row>
    <row r="150" spans="1:1">
      <c r="A150">
        <f>ERF(0.745)</f>
        <v>0.70792892009573771</v>
      </c>
    </row>
    <row r="151" spans="1:1">
      <c r="A151">
        <f>_xlfn.ERF.PRECISE(0.745)</f>
        <v>0.70792892009573771</v>
      </c>
    </row>
    <row r="152" spans="1:1">
      <c r="A152">
        <f>ERFC(1)</f>
        <v>0.15729920705028513</v>
      </c>
    </row>
    <row r="153" spans="1:1">
      <c r="A153">
        <f>_xlfn.ERFC.PRECISE(1)</f>
        <v>0.15729920705028513</v>
      </c>
    </row>
    <row r="154" spans="1:1">
      <c r="A154" t="e">
        <f>ERROR.TYPE(A2)</f>
        <v>#N/A</v>
      </c>
    </row>
    <row r="155" spans="1:1">
      <c r="A155" t="e">
        <f ca="1">EUROCONVERT()</f>
        <v>#NAME?</v>
      </c>
    </row>
    <row r="156" spans="1:1">
      <c r="A156">
        <f>EVEN(1.5)</f>
        <v>2</v>
      </c>
    </row>
    <row r="157" spans="1:1">
      <c r="A157" t="b">
        <f>EXACT(A2,B2)</f>
        <v>0</v>
      </c>
    </row>
    <row r="158" spans="1:1">
      <c r="A158">
        <f>EXP(1)</f>
        <v>2.7182818284590451</v>
      </c>
    </row>
    <row r="159" spans="1:1">
      <c r="A159" t="e">
        <f ca="1">_xludf.EXPAND()</f>
        <v>#NAME?</v>
      </c>
    </row>
    <row r="160" spans="1:1">
      <c r="A160">
        <f>_xlfn.EXPON.DIST(A2,A3,TRUE)</f>
        <v>1</v>
      </c>
    </row>
    <row r="161" spans="1:1">
      <c r="A161">
        <f>EXPONDIST(A2,A3,TRUE)</f>
        <v>1</v>
      </c>
    </row>
    <row r="162" spans="1:1">
      <c r="A162">
        <f>FACT(5)</f>
        <v>120</v>
      </c>
    </row>
    <row r="163" spans="1:1">
      <c r="A163">
        <f>FACTDOUBLE(6)</f>
        <v>48</v>
      </c>
    </row>
    <row r="164" spans="1:1">
      <c r="A164" t="b">
        <f>FALSE</f>
        <v>0</v>
      </c>
    </row>
    <row r="165" spans="1:1">
      <c r="A165">
        <f>_xlfn.F.DIST(A2,A3,A4,TRUE)</f>
        <v>0.94193339130279918</v>
      </c>
    </row>
    <row r="166" spans="1:1">
      <c r="A166">
        <f>FDIST(A2,A3,A4)</f>
        <v>5.8066608697200858E-2</v>
      </c>
    </row>
    <row r="167" spans="1:1">
      <c r="A167">
        <f>_xlfn.F.DIST.RT(A2,A3,A4)</f>
        <v>5.8066608697200858E-2</v>
      </c>
    </row>
    <row r="168" spans="1:1">
      <c r="A168" t="e">
        <f ca="1">_xludf.FILTER</f>
        <v>#NAME?</v>
      </c>
    </row>
    <row r="169" spans="1:1">
      <c r="A169" t="e">
        <f>_xlfn.FILTERXML(_xlfn.WEBSERVICE("http://dev.markitondemand.com/MODApis/Api/Quote/xml?symbol="&amp;_xlfn.ENCODEURL(C2)),"//QuoteApiModel/Data/LastPrice")</f>
        <v>#VALUE!</v>
      </c>
    </row>
    <row r="170" spans="1:1">
      <c r="A170" t="e">
        <f>FIND("M",A2)</f>
        <v>#VALUE!</v>
      </c>
    </row>
    <row r="171" spans="1:1">
      <c r="A171" t="e">
        <f ca="1">FINDBS()</f>
        <v>#NAME?</v>
      </c>
    </row>
    <row r="172" spans="1:1">
      <c r="A172" t="e">
        <f>_xlfn.F.INV(A2,A3,A4)</f>
        <v>#NUM!</v>
      </c>
    </row>
    <row r="173" spans="1:1">
      <c r="A173" t="e">
        <f>_xlfn.F.INV.RT(A2,A3,A4)</f>
        <v>#NUM!</v>
      </c>
    </row>
    <row r="174" spans="1:1">
      <c r="A174" t="e">
        <f>FINV(A2,A3,A4)</f>
        <v>#NUM!</v>
      </c>
    </row>
    <row r="175" spans="1:1">
      <c r="A175">
        <f>FISHER(0.75)</f>
        <v>0.97295507452765662</v>
      </c>
    </row>
    <row r="176" spans="1:1">
      <c r="A176">
        <f>FISHERINV(0.972955)</f>
        <v>0.74999996739414843</v>
      </c>
    </row>
    <row r="177" spans="1:1">
      <c r="A177" t="str">
        <f>FIXED(A2, 1)</f>
        <v>16.7</v>
      </c>
    </row>
    <row r="178" spans="1:1">
      <c r="A178">
        <f>FLOOR(3.7,2)</f>
        <v>2</v>
      </c>
    </row>
    <row r="179" spans="1:1">
      <c r="A179">
        <f>_xlfn.FLOOR.MATH(24.3,5)</f>
        <v>20</v>
      </c>
    </row>
    <row r="180" spans="1:1">
      <c r="A180">
        <f>_xlfn.FLOOR.PRECISE(-3.2,-1)</f>
        <v>-4</v>
      </c>
    </row>
    <row r="181" spans="1:1">
      <c r="A181" t="e">
        <f>FORECAST(A1, A1, A1)</f>
        <v>#DIV/0!</v>
      </c>
    </row>
    <row r="182" spans="1:1">
      <c r="A182" t="e">
        <f>_xlfn.FORECAST.ETS(A1, A1, A1)</f>
        <v>#N/A</v>
      </c>
    </row>
    <row r="183" spans="1:1">
      <c r="A183" t="e">
        <f>_xlfn.FORECAST.ETS.CONFINT(A1, A1, A1)</f>
        <v>#N/A</v>
      </c>
    </row>
    <row r="184" spans="1:1">
      <c r="A184" t="e">
        <f>_xlfn.FORECAST.ETS.SEASONALITY(A1, A1)</f>
        <v>#N/A</v>
      </c>
    </row>
    <row r="185" spans="1:1">
      <c r="A185" t="e">
        <f>_xlfn.FORECAST.ETS.STAT(A1, A1, A1)</f>
        <v>#N/A</v>
      </c>
    </row>
    <row r="186" spans="1:1">
      <c r="A186" t="e">
        <f>_xlfn.FORECAST.LINEAR(30,A2:A6,B2:B6)</f>
        <v>#DIV/0!</v>
      </c>
    </row>
    <row r="187" spans="1:1">
      <c r="A187" t="str">
        <f ca="1">_xlfn.FORMULATEXT(A1)</f>
        <v>=ABS(-1)</v>
      </c>
    </row>
    <row r="188" spans="1:1">
      <c r="A188">
        <f>FREQUENCY(A1:A2, A1:A2)</f>
        <v>1</v>
      </c>
    </row>
    <row r="189" spans="1:1">
      <c r="A189" t="e">
        <f>_xlfn.F.TEST(A2:A6,B2:B6)</f>
        <v>#DIV/0!</v>
      </c>
    </row>
    <row r="190" spans="1:1">
      <c r="A190" t="e">
        <f>FTEST(A2:A6,B2:B6)</f>
        <v>#DIV/0!</v>
      </c>
    </row>
    <row r="191" spans="1:1">
      <c r="A191" s="3">
        <f>FV(A2/12, A3, A4, A5, A6)</f>
        <v>-389406158.10329163</v>
      </c>
    </row>
    <row r="192" spans="1:1">
      <c r="A192">
        <f>FVSCHEDULE(1,{0.09,0.11,0.1})</f>
        <v>1.3308900000000004</v>
      </c>
    </row>
    <row r="193" spans="1:1">
      <c r="A193">
        <f>_xlfn.GAMMA(2.5)</f>
        <v>1.329340388179137</v>
      </c>
    </row>
    <row r="194" spans="1:1">
      <c r="A194">
        <f>_xlfn.GAMMA.DIST(A2,A3,A4,FALSE)</f>
        <v>1.0870039336244952E-4</v>
      </c>
    </row>
    <row r="195" spans="1:1">
      <c r="A195">
        <f>GAMMADIST(A2,A3,A4,FALSE)</f>
        <v>1.0870039336244952E-4</v>
      </c>
    </row>
    <row r="196" spans="1:1">
      <c r="A196" t="e">
        <f>_xlfn.GAMMA.INV(A2,A3,A4)</f>
        <v>#NUM!</v>
      </c>
    </row>
    <row r="197" spans="1:1">
      <c r="A197" t="e">
        <f>GAMMAINV(A2,A3,A4)</f>
        <v>#NUM!</v>
      </c>
    </row>
    <row r="198" spans="1:1">
      <c r="A198">
        <f>GAMMALN(4)</f>
        <v>1.791759469228055</v>
      </c>
    </row>
    <row r="199" spans="1:1">
      <c r="A199">
        <f>_xlfn.GAMMALN.PRECISE(4)</f>
        <v>1.791759469228055</v>
      </c>
    </row>
    <row r="200" spans="1:1">
      <c r="A200">
        <f>_xlfn.GAUSS(2)</f>
        <v>0.47724986805182079</v>
      </c>
    </row>
    <row r="201" spans="1:1">
      <c r="A201">
        <f>GCD(5, 2)</f>
        <v>1</v>
      </c>
    </row>
    <row r="202" spans="1:1">
      <c r="A202">
        <f>GEOMEAN(A2:A8)</f>
        <v>3.2006744028381213</v>
      </c>
    </row>
    <row r="203" spans="1:1">
      <c r="A203">
        <f>GESTEP(5, 4)</f>
        <v>1</v>
      </c>
    </row>
    <row r="204" spans="1:1">
      <c r="A204" t="e">
        <f>GETPIVOTDATA("Sales", A3)</f>
        <v>#REF!</v>
      </c>
    </row>
    <row r="205" spans="1:1">
      <c r="A205" t="e">
        <f>GROWTH(B2:B7,A2:A7,A9:A10)</f>
        <v>#VALUE!</v>
      </c>
    </row>
    <row r="206" spans="1:1">
      <c r="A206">
        <f>HARMEAN(A2:A8)</f>
        <v>0.77179861325024701</v>
      </c>
    </row>
    <row r="207" spans="1:1">
      <c r="A207" t="str">
        <f>HEX2BIN("F", 8)</f>
        <v>00001111</v>
      </c>
    </row>
    <row r="208" spans="1:1">
      <c r="A208">
        <f>HEX2DEC("A5")</f>
        <v>165</v>
      </c>
    </row>
    <row r="209" spans="1:1">
      <c r="A209" t="str">
        <f>HEX2OCT("F", 3)</f>
        <v>017</v>
      </c>
    </row>
    <row r="210" spans="1:1">
      <c r="A210" t="e">
        <f>HLOOKUP("Axles", A1:C4, 2, TRUE)</f>
        <v>#N/A</v>
      </c>
    </row>
    <row r="211" spans="1:1">
      <c r="A211">
        <f>HOUR(A2)</f>
        <v>16</v>
      </c>
    </row>
    <row r="212" spans="1:1">
      <c r="A212" t="e">
        <f ca="1">_xludf.HSTACK()</f>
        <v>#NAME?</v>
      </c>
    </row>
    <row r="213" spans="1:1">
      <c r="A213" s="6" t="str">
        <f>HYPERLINK("http://example.microsoft.com/report/budget report.xlsx", "Click for report")</f>
        <v>Click for report</v>
      </c>
    </row>
    <row r="214" spans="1:1">
      <c r="A214" t="e">
        <f>_xlfn.HYPGEOM.DIST(A2,A3,A4,A5,TRUE)</f>
        <v>#NUM!</v>
      </c>
    </row>
    <row r="215" spans="1:1">
      <c r="A215" t="e">
        <f>HYPGEOMDIST(A2,A3,A4,A5)</f>
        <v>#NUM!</v>
      </c>
    </row>
    <row r="216" spans="1:1">
      <c r="A216">
        <f>IF(E7="yes", A1*0.0825, 0)</f>
        <v>0</v>
      </c>
    </row>
    <row r="217" spans="1:1">
      <c r="A217">
        <f>IFERROR(A1, "error")</f>
        <v>1</v>
      </c>
    </row>
    <row r="218" spans="1:1">
      <c r="A218">
        <f>_xlfn.IFNA(A1, "not found")</f>
        <v>1</v>
      </c>
    </row>
    <row r="219" spans="1:1">
      <c r="A219" t="e">
        <f ca="1">_xludf.IFS()</f>
        <v>#NAME?</v>
      </c>
    </row>
    <row r="220" spans="1:1">
      <c r="A220">
        <f>IMABS("5+12i")</f>
        <v>13</v>
      </c>
    </row>
    <row r="221" spans="1:1">
      <c r="A221" t="e">
        <f ca="1">_xludf.IMAGE()</f>
        <v>#NAME?</v>
      </c>
    </row>
    <row r="222" spans="1:1">
      <c r="A222">
        <f>IMAGINARY("3+4i")</f>
        <v>4</v>
      </c>
    </row>
    <row r="223" spans="1:1">
      <c r="A223">
        <f>IMARGUMENT("3+4i")</f>
        <v>0.92729521800161219</v>
      </c>
    </row>
    <row r="224" spans="1:1">
      <c r="A224" t="str">
        <f>IMCONJUGATE("3+4i")</f>
        <v>3-4i</v>
      </c>
    </row>
    <row r="225" spans="1:1">
      <c r="A225" t="str">
        <f>IMCOS("1+i")</f>
        <v>0.833730025131149-0.988897705762865i</v>
      </c>
    </row>
    <row r="226" spans="1:1">
      <c r="A226" t="str">
        <f>_xlfn.IMCOSH("4+3i")</f>
        <v>-27.0349456030742+3.85115333481178i</v>
      </c>
    </row>
    <row r="227" spans="1:1">
      <c r="A227" t="str">
        <f>_xlfn.IMCOT("4+3i")</f>
        <v>0.00490118239430447-0.999266927805902i</v>
      </c>
    </row>
    <row r="228" spans="1:1">
      <c r="A228" t="str">
        <f>_xlfn.IMCSC("4+3i")</f>
        <v>-0.0754898329158637+0.0648774713706355i</v>
      </c>
    </row>
    <row r="229" spans="1:1">
      <c r="A229" t="str">
        <f>_xlfn.IMCSCH("4+3i")</f>
        <v>-0.036275889628626-0.0051744731840194i</v>
      </c>
    </row>
    <row r="230" spans="1:1">
      <c r="A230" t="str">
        <f>IMDIV("-238+240i","10+24i")</f>
        <v>5+12i</v>
      </c>
    </row>
    <row r="231" spans="1:1">
      <c r="A231" t="str">
        <f>IMEXP("1+i")</f>
        <v>1.46869393991589+2.28735528717884i</v>
      </c>
    </row>
    <row r="232" spans="1:1">
      <c r="A232" t="str">
        <f>IMLN("3+4i")</f>
        <v>1.6094379124341+0.927295218001612i</v>
      </c>
    </row>
    <row r="233" spans="1:1">
      <c r="A233" t="str">
        <f>IMLOG10("3+4i")</f>
        <v>0.698970004336019+0.402719196273373i</v>
      </c>
    </row>
    <row r="234" spans="1:1">
      <c r="A234" t="str">
        <f>IMLOG2("3+4i")</f>
        <v>2.32192809488736+1.33780421245098i</v>
      </c>
    </row>
    <row r="235" spans="1:1">
      <c r="A235" t="str">
        <f>IMPOWER("2+3i", 3)</f>
        <v>-46+9.00000000000001i</v>
      </c>
    </row>
    <row r="236" spans="1:1">
      <c r="A236" t="str">
        <f>IMPRODUCT("3+4i","5-3i")</f>
        <v>27+11i</v>
      </c>
    </row>
    <row r="237" spans="1:1">
      <c r="A237">
        <f>IMREAL("6-9i")</f>
        <v>6</v>
      </c>
    </row>
    <row r="238" spans="1:1">
      <c r="A238" t="str">
        <f>_xlfn.IMSEC("4+3i")</f>
        <v>-0.0652940278579471-0.0752249603027732i</v>
      </c>
    </row>
    <row r="239" spans="1:1">
      <c r="A239" t="str">
        <f>_xlfn.IMSECH("4+3i")</f>
        <v>-0.0362534969158689-0.00516434460775318i</v>
      </c>
    </row>
    <row r="240" spans="1:1">
      <c r="A240" t="str">
        <f>IMSIN("4+3i")</f>
        <v>-7.61923172032141-6.548120040911i</v>
      </c>
    </row>
    <row r="241" spans="1:1">
      <c r="A241" t="str">
        <f>_xlfn.IMSINH("4+3i")</f>
        <v>-27.0168132580039+3.85373803791938i</v>
      </c>
    </row>
    <row r="242" spans="1:1">
      <c r="A242" t="str">
        <f>IMSQRT("1+i")</f>
        <v>1.09868411346781+0.455089860562227i</v>
      </c>
    </row>
    <row r="243" spans="1:1">
      <c r="A243" t="str">
        <f>IMSUB("13+4i","5+3i")</f>
        <v>8+i</v>
      </c>
    </row>
    <row r="244" spans="1:1">
      <c r="A244" t="str">
        <f>IMSUM("3+4i","5-3i")</f>
        <v>8+i</v>
      </c>
    </row>
    <row r="245" spans="1:1">
      <c r="A245" t="str">
        <f>_xlfn.IMTAN("4+3i")</f>
        <v>0.00490825806749606+1.00070953606723i</v>
      </c>
    </row>
    <row r="246" spans="1:1">
      <c r="A246">
        <f>INDEX(A2:B3,2,2)</f>
        <v>0</v>
      </c>
    </row>
    <row r="247" spans="1:1">
      <c r="A247" t="e">
        <f ca="1">INDIRECT(A2)</f>
        <v>#REF!</v>
      </c>
    </row>
    <row r="248" spans="1:1">
      <c r="A248" t="e">
        <f ca="1">INFO("numfile")</f>
        <v>#VALUE!</v>
      </c>
    </row>
    <row r="249" spans="1:1">
      <c r="A249">
        <f>INT(8.9)</f>
        <v>8</v>
      </c>
    </row>
    <row r="250" spans="1:1">
      <c r="A250" t="e">
        <f>INTERCEPT(A2:A6, B2:B6)</f>
        <v>#DIV/0!</v>
      </c>
    </row>
    <row r="251" spans="1:1">
      <c r="A251">
        <f>INTRATE(A2,A3,A4,A5,A6)</f>
        <v>38.624277168883374</v>
      </c>
    </row>
    <row r="252" spans="1:1">
      <c r="A252" s="3">
        <f>IPMT(A2/12, A3, A4*12, A5)</f>
        <v>-4.1251425487515334</v>
      </c>
    </row>
    <row r="253" spans="1:1">
      <c r="A253" s="5" t="e">
        <f>IRR(A2:A4,-10%)</f>
        <v>#NUM!</v>
      </c>
    </row>
    <row r="254" spans="1:1">
      <c r="A254" t="b">
        <f>ISBLANK(A1)</f>
        <v>0</v>
      </c>
    </row>
    <row r="255" spans="1:1">
      <c r="A255" t="b">
        <f>ISERR(A1)</f>
        <v>0</v>
      </c>
    </row>
    <row r="256" spans="1:1">
      <c r="A256" t="b">
        <f>ISERROR(A1)</f>
        <v>0</v>
      </c>
    </row>
    <row r="257" spans="1:1">
      <c r="A257" t="b">
        <f>ISEVEN(A1)</f>
        <v>0</v>
      </c>
    </row>
    <row r="258" spans="1:1">
      <c r="A258" t="b">
        <f>_xlfn.ISFORMULA(A1)</f>
        <v>1</v>
      </c>
    </row>
    <row r="259" spans="1:1">
      <c r="A259" t="b">
        <f>ISLOGICAL(A1)</f>
        <v>0</v>
      </c>
    </row>
    <row r="260" spans="1:1">
      <c r="A260" t="b">
        <f>ISNA(A1)</f>
        <v>0</v>
      </c>
    </row>
    <row r="261" spans="1:1">
      <c r="A261" t="b">
        <f>ISNONTEXT(A1)</f>
        <v>1</v>
      </c>
    </row>
    <row r="262" spans="1:1">
      <c r="A262" t="b">
        <f>ISNUMBER(A1)</f>
        <v>1</v>
      </c>
    </row>
    <row r="263" spans="1:1">
      <c r="A263" t="b">
        <f>ISODD(5)</f>
        <v>1</v>
      </c>
    </row>
    <row r="264" spans="1:1">
      <c r="A264" t="e">
        <f ca="1">_xludf.ISOMITTED()</f>
        <v>#NAME?</v>
      </c>
    </row>
    <row r="265" spans="1:1">
      <c r="A265" t="b">
        <f>ISREF(A1)</f>
        <v>1</v>
      </c>
    </row>
    <row r="266" spans="1:1">
      <c r="A266" t="b">
        <f>ISTEXT(A1)</f>
        <v>0</v>
      </c>
    </row>
    <row r="267" spans="1:1">
      <c r="A267">
        <f>ISO.CEILING(4.3)</f>
        <v>5</v>
      </c>
    </row>
    <row r="268" spans="1:1">
      <c r="A268">
        <f>_xlfn.ISOWEEKNUM(A2)</f>
        <v>3</v>
      </c>
    </row>
    <row r="269" spans="1:1">
      <c r="A269">
        <f>ISPMT(A1, A1, A1, A1)</f>
        <v>0</v>
      </c>
    </row>
    <row r="270" spans="1:1">
      <c r="A270" t="e">
        <f ca="1">JIS()</f>
        <v>#NAME?</v>
      </c>
    </row>
    <row r="271" spans="1:1">
      <c r="A271" t="e">
        <f>KURT(A2:A11)</f>
        <v>#NUM!</v>
      </c>
    </row>
    <row r="272" spans="1:1">
      <c r="A272" t="e">
        <f ca="1">_xludf.LAMBDA()</f>
        <v>#NAME?</v>
      </c>
    </row>
    <row r="273" spans="1:1">
      <c r="A273">
        <f>LARGE(A2:B6,3)</f>
        <v>2.9932228461263808</v>
      </c>
    </row>
    <row r="274" spans="1:1">
      <c r="A274">
        <f>LCM(5, 2)</f>
        <v>10</v>
      </c>
    </row>
    <row r="275" spans="1:1">
      <c r="A275" t="str">
        <f>LEFT(A2,4)</f>
        <v>16.6</v>
      </c>
    </row>
    <row r="276" spans="1:1">
      <c r="A276" t="e">
        <f ca="1">LEFTBS()</f>
        <v>#NAME?</v>
      </c>
    </row>
    <row r="277" spans="1:1">
      <c r="A277">
        <f>LEN("excel")</f>
        <v>5</v>
      </c>
    </row>
    <row r="278" spans="1:1">
      <c r="A278" t="e">
        <f ca="1">LENBS()</f>
        <v>#NAME?</v>
      </c>
    </row>
    <row r="279" spans="1:1">
      <c r="A279" t="e">
        <f ca="1">_xludf.LET()</f>
        <v>#NAME?</v>
      </c>
    </row>
    <row r="280" spans="1:1">
      <c r="A280" t="e">
        <f>LINEST(E2:E12,A2:D12,TRUE,TRUE)</f>
        <v>#VALUE!</v>
      </c>
    </row>
    <row r="281" spans="1:1">
      <c r="A281">
        <f>LN(86)</f>
        <v>4.4543472962535073</v>
      </c>
    </row>
    <row r="282" spans="1:1">
      <c r="A282">
        <f>LOG(10)</f>
        <v>1</v>
      </c>
    </row>
    <row r="283" spans="1:1">
      <c r="A283">
        <f>LOG10(10^5)</f>
        <v>5</v>
      </c>
    </row>
    <row r="284" spans="1:1">
      <c r="A284">
        <f>LOGEST(A1:A2)</f>
        <v>16.666666666666661</v>
      </c>
    </row>
    <row r="285" spans="1:1">
      <c r="A285" t="e">
        <f>LOGINV(A2, A3, A4)</f>
        <v>#NUM!</v>
      </c>
    </row>
    <row r="286" spans="1:1">
      <c r="A286">
        <f>_xlfn.LOGNORM.DIST(A2,A3,A4,TRUE)</f>
        <v>1.2523270257050498E-17</v>
      </c>
    </row>
    <row r="287" spans="1:1">
      <c r="A287">
        <f>LOGNORMDIST(A2,A3,A4)</f>
        <v>1.2523270257050498E-17</v>
      </c>
    </row>
    <row r="288" spans="1:1">
      <c r="A288" t="e">
        <f>_xlfn.LOGNORM.INV(A2, A3, A4)</f>
        <v>#NUM!</v>
      </c>
    </row>
    <row r="289" spans="1:1">
      <c r="A289">
        <f>LOOKUP(4.19, A2:A6, B2:B6)</f>
        <v>0</v>
      </c>
    </row>
    <row r="290" spans="1:1">
      <c r="A290" t="str">
        <f>LOWER(A2)</f>
        <v>16.6666666666667</v>
      </c>
    </row>
    <row r="291" spans="1:1">
      <c r="A291" t="e">
        <f ca="1">_xludf.MAKEARRAY()</f>
        <v>#NAME?</v>
      </c>
    </row>
    <row r="292" spans="1:1">
      <c r="A292" t="e">
        <f ca="1">_xludf.MAP()</f>
        <v>#NAME?</v>
      </c>
    </row>
    <row r="293" spans="1:1">
      <c r="A293" t="e">
        <f>MATCH(39,B2:B5,1)</f>
        <v>#N/A</v>
      </c>
    </row>
    <row r="294" spans="1:1">
      <c r="A294">
        <f>MAX(A2:A6)</f>
        <v>20.547945205479451</v>
      </c>
    </row>
    <row r="295" spans="1:1">
      <c r="A295">
        <f>MAXA(A2:A6)</f>
        <v>20.547945205479451</v>
      </c>
    </row>
    <row r="296" spans="1:1">
      <c r="A296" t="e">
        <f ca="1">_xludf.MAXIFS()</f>
        <v>#NAME?</v>
      </c>
    </row>
    <row r="297" spans="1:1">
      <c r="A297" t="e">
        <f>MDETERM(A2:D5)</f>
        <v>#VALUE!</v>
      </c>
    </row>
    <row r="298" spans="1:1">
      <c r="A298" t="e">
        <f>MDURATION(A2,A3,A4,A5,A6,A7)</f>
        <v>#NUM!</v>
      </c>
    </row>
    <row r="299" spans="1:1">
      <c r="A299">
        <f>MEDIAN(A2:A6)</f>
        <v>2.9932228461263808</v>
      </c>
    </row>
    <row r="300" spans="1:1">
      <c r="A300" t="str">
        <f>MID(A2,1,5)</f>
        <v>16.66</v>
      </c>
    </row>
    <row r="301" spans="1:1">
      <c r="A301" t="e">
        <f ca="1">MIDBS()</f>
        <v>#NAME?</v>
      </c>
    </row>
    <row r="302" spans="1:1">
      <c r="A302">
        <f>MIN(A2:A6)</f>
        <v>0.46364760900080609</v>
      </c>
    </row>
    <row r="303" spans="1:1">
      <c r="A303" t="e">
        <f ca="1">_xludf.MINIFS()</f>
        <v>#NAME?</v>
      </c>
    </row>
    <row r="304" spans="1:1">
      <c r="A304">
        <f>MINA(A2:A6)</f>
        <v>0.46364760900080609</v>
      </c>
    </row>
    <row r="305" spans="1:1">
      <c r="A305">
        <f>MINUTE(A2)</f>
        <v>0</v>
      </c>
    </row>
    <row r="306" spans="1:1">
      <c r="A306" t="e">
        <f>MINVERSE(A1:B2)</f>
        <v>#VALUE!</v>
      </c>
    </row>
    <row r="307" spans="1:1">
      <c r="A307" s="5" t="e">
        <f>MIRR(A2:A7, A8, A9)</f>
        <v>#VALUE!</v>
      </c>
    </row>
    <row r="308" spans="1:1">
      <c r="A308" t="e">
        <f>MMULT(A1:B2, A2:B3)</f>
        <v>#VALUE!</v>
      </c>
    </row>
    <row r="309" spans="1:1">
      <c r="A309">
        <f>MOD(3, 2)</f>
        <v>1</v>
      </c>
    </row>
    <row r="310" spans="1:1">
      <c r="A310" t="e">
        <f>MODE(A2:A7)</f>
        <v>#N/A</v>
      </c>
    </row>
    <row r="311" spans="1:1">
      <c r="A311" t="e">
        <f>_xlfn.MODE.MULT(A2:A13)</f>
        <v>#NUM!</v>
      </c>
    </row>
    <row r="312" spans="1:1">
      <c r="A312" t="e">
        <f>_xlfn.MODE.SNGL(A2:A7)</f>
        <v>#N/A</v>
      </c>
    </row>
    <row r="313" spans="1:1">
      <c r="A313">
        <f>MONTH(A2)</f>
        <v>1</v>
      </c>
    </row>
    <row r="314" spans="1:1">
      <c r="A314">
        <f>MROUND(10, 3)</f>
        <v>9</v>
      </c>
    </row>
    <row r="315" spans="1:1">
      <c r="A315">
        <f>MULTINOMIAL(2, 3, 4)</f>
        <v>1259.9999999999991</v>
      </c>
    </row>
    <row r="316" spans="1:1">
      <c r="A316">
        <f>_xlfn.MUNIT(3)</f>
        <v>1</v>
      </c>
    </row>
    <row r="317" spans="1:1">
      <c r="A317">
        <f>N(A2)</f>
        <v>16.666666666666664</v>
      </c>
    </row>
    <row r="318" spans="1:1">
      <c r="A318" t="e">
        <f>NA()</f>
        <v>#N/A</v>
      </c>
    </row>
    <row r="319" spans="1:1">
      <c r="A319" t="e">
        <f>_xlfn.NEGBINOM.DIST(A2,A3,A4,TRUE)</f>
        <v>#NUM!</v>
      </c>
    </row>
    <row r="320" spans="1:1">
      <c r="A320" t="e">
        <f>NEGBINOMDIST(A2,A3,A4)</f>
        <v>#NUM!</v>
      </c>
    </row>
    <row r="321" spans="1:1">
      <c r="A321">
        <f>NETWORKDAYS(A2,A3)</f>
        <v>5</v>
      </c>
    </row>
    <row r="322" spans="1:1">
      <c r="A322">
        <f>NETWORKDAYS.INTL(DATE(2006,1,1),DATE(2006,1,31))</f>
        <v>22</v>
      </c>
    </row>
    <row r="323" spans="1:1">
      <c r="A323">
        <f>NOMINAL(A2,A3)</f>
        <v>3.088075099999168</v>
      </c>
    </row>
    <row r="324" spans="1:1">
      <c r="A324">
        <f>_xlfn.NORM.DIST(A2,A3,A4,TRUE)</f>
        <v>3.1928711870637456E-2</v>
      </c>
    </row>
    <row r="325" spans="1:1">
      <c r="A325">
        <f>NORMDIST(A2,A3,A4,TRUE)</f>
        <v>3.1928711870637456E-2</v>
      </c>
    </row>
    <row r="326" spans="1:1">
      <c r="A326" t="e">
        <f>NORMINV(A2,A3,A4)</f>
        <v>#NUM!</v>
      </c>
    </row>
    <row r="327" spans="1:1">
      <c r="A327" t="e">
        <f>_xlfn.NORM.INV(A2,A3,A4)</f>
        <v>#NUM!</v>
      </c>
    </row>
    <row r="328" spans="1:1">
      <c r="A328">
        <f>_xlfn.NORM.S.DIST(1.333333,TRUE)</f>
        <v>0.90878872560409507</v>
      </c>
    </row>
    <row r="329" spans="1:1">
      <c r="A329">
        <f>NORMSDIST(1.333333)</f>
        <v>0.90878872560409507</v>
      </c>
    </row>
    <row r="330" spans="1:1">
      <c r="A330">
        <f>_xlfn.NORM.S.INV(0.908789)</f>
        <v>1.3333346730441071</v>
      </c>
    </row>
    <row r="331" spans="1:1">
      <c r="A331">
        <f>NORMSINV(0.9088)</f>
        <v>1.3334017452136098</v>
      </c>
    </row>
    <row r="332" spans="1:1">
      <c r="A332" t="b">
        <f>NOT(A2&gt;100)</f>
        <v>1</v>
      </c>
    </row>
    <row r="333" spans="1:1">
      <c r="A333" s="1">
        <f ca="1">NOW()</f>
        <v>45472.14232337963</v>
      </c>
    </row>
    <row r="334" spans="1:1">
      <c r="A334">
        <f>NPER(A2/12, A3, A4, A5, 1)</f>
        <v>-0.16773131539072317</v>
      </c>
    </row>
    <row r="335" spans="1:1">
      <c r="A335" s="3">
        <f>NPV(A2, A3, A4, A5, A6)</f>
        <v>1.1703492569085754</v>
      </c>
    </row>
    <row r="336" spans="1:1">
      <c r="A336">
        <f>_xlfn.NUMBERVALUE("2.500,27",",",".")</f>
        <v>2500.27</v>
      </c>
    </row>
    <row r="337" spans="1:1">
      <c r="A337" t="str">
        <f>OCT2BIN(3, 3)</f>
        <v>011</v>
      </c>
    </row>
    <row r="338" spans="1:1">
      <c r="A338">
        <f>OCT2DEC(54)</f>
        <v>44</v>
      </c>
    </row>
    <row r="339" spans="1:1">
      <c r="A339" t="str">
        <f>OCT2HEX(100, 4)</f>
        <v>0040</v>
      </c>
    </row>
    <row r="340" spans="1:1">
      <c r="A340">
        <f>ODD(1.5)</f>
        <v>3</v>
      </c>
    </row>
    <row r="341" spans="1:1">
      <c r="A341" t="e">
        <f>ODDFPRICE(A2, A3, A4, A5, A6, A7, A8, A9, A10)</f>
        <v>#VALUE!</v>
      </c>
    </row>
    <row r="342" spans="1:1">
      <c r="A342" t="e">
        <f>ODDFYIELD(A2, A3, A4, A5, A6, A7, A8, A9, A10)</f>
        <v>#VALUE!</v>
      </c>
    </row>
    <row r="343" spans="1:1">
      <c r="A343" t="e">
        <f>ODDLPRICE(A2, A3, A4, A5, A6, A7, A8, A9)</f>
        <v>#NUM!</v>
      </c>
    </row>
    <row r="344" spans="1:1">
      <c r="A344" t="e">
        <f>ODDLYIELD(A2, A3, A4, A5, A6, A7, A8, A9)</f>
        <v>#NUM!</v>
      </c>
    </row>
    <row r="345" spans="1:1">
      <c r="A345">
        <f ca="1">OFFSET(D3,3,-2,1,1)</f>
        <v>0</v>
      </c>
    </row>
    <row r="346" spans="1:1">
      <c r="A346" t="b">
        <f>OR(A2&gt;1,A2&lt;100)</f>
        <v>1</v>
      </c>
    </row>
    <row r="347" spans="1:1">
      <c r="A347">
        <f>_xlfn.PDURATION(2.5%,2000,2200)</f>
        <v>3.8598661626226551</v>
      </c>
    </row>
    <row r="348" spans="1:1">
      <c r="A348" t="e">
        <f>PEARSON(A3:A7,B3:B7)</f>
        <v>#DIV/0!</v>
      </c>
    </row>
    <row r="349" spans="1:1">
      <c r="A349" t="e">
        <f>_xlfn.PERCENTILE.EXC(A1:A2, 0.25)</f>
        <v>#NUM!</v>
      </c>
    </row>
    <row r="350" spans="1:1">
      <c r="A350">
        <f>_xlfn.PERCENTILE.INC(A2:A5,0.3)</f>
        <v>2.9033400717530622</v>
      </c>
    </row>
    <row r="351" spans="1:1">
      <c r="A351">
        <f>PERCENTILE(A1:A2, 0.2)</f>
        <v>4.133333333333332</v>
      </c>
    </row>
    <row r="352" spans="1:1">
      <c r="A352" t="e">
        <f>_xlfn.PERCENTRANK.EXC(A2:A10, 7)</f>
        <v>#NUM!</v>
      </c>
    </row>
    <row r="353" spans="1:1">
      <c r="A353" t="e">
        <f>_xlfn.PERCENTRANK.INC(A2:A11,2)</f>
        <v>#NUM!</v>
      </c>
    </row>
    <row r="354" spans="1:1">
      <c r="A354" t="e">
        <f>PERCENTRANK(A2:A11,2)</f>
        <v>#NUM!</v>
      </c>
    </row>
    <row r="355" spans="1:1">
      <c r="A355">
        <f>PERMUT(3,2)</f>
        <v>6</v>
      </c>
    </row>
    <row r="356" spans="1:1">
      <c r="A356">
        <f>_xlfn.PERMUTATIONA(2,2)</f>
        <v>4</v>
      </c>
    </row>
    <row r="357" spans="1:1">
      <c r="A357">
        <f>_xlfn.PHI(0.75)</f>
        <v>0.30113743215480443</v>
      </c>
    </row>
    <row r="358" spans="1:1">
      <c r="A358" t="e">
        <f>PHONETIC(C4)</f>
        <v>#N/A</v>
      </c>
    </row>
    <row r="359" spans="1:1">
      <c r="A359">
        <f>PI()</f>
        <v>3.1415926535897931</v>
      </c>
    </row>
    <row r="360" spans="1:1">
      <c r="A360" s="3">
        <f>PMT(A2/12,A3,A4,,1)</f>
        <v>-1.2176715917831957</v>
      </c>
    </row>
    <row r="361" spans="1:1">
      <c r="A361">
        <f>_xlfn.POISSON.DIST(A2,A3,TRUE)</f>
        <v>0.18763201999655957</v>
      </c>
    </row>
    <row r="362" spans="1:1">
      <c r="A362">
        <f>POISSON(A2,A3,TRUE)</f>
        <v>0.18763201999655957</v>
      </c>
    </row>
    <row r="363" spans="1:1">
      <c r="A363">
        <f>POWER(5,2)</f>
        <v>25</v>
      </c>
    </row>
    <row r="364" spans="1:1">
      <c r="A364" s="3" t="e">
        <f>PPMT(A8, A9, 10, A10)</f>
        <v>#VALUE!</v>
      </c>
    </row>
    <row r="365" spans="1:1">
      <c r="A365" t="e">
        <f>PRICE(A2,A3,A4,A5,A6,A7,A8)</f>
        <v>#NUM!</v>
      </c>
    </row>
    <row r="366" spans="1:1">
      <c r="A366">
        <f>PRICEDISC(A2,A3,A4,A5,A6)</f>
        <v>2.9235673875786197</v>
      </c>
    </row>
    <row r="367" spans="1:1">
      <c r="A367">
        <f>PRICEMAT(A2,A3,A4,A5,A6,A7)</f>
        <v>102.7365746115802</v>
      </c>
    </row>
    <row r="368" spans="1:1">
      <c r="A368" t="e">
        <f>PROB(A3:A6,B3:B6,2)</f>
        <v>#DIV/0!</v>
      </c>
    </row>
    <row r="369" spans="1:1">
      <c r="A369">
        <f>PRODUCT(A2:A4)</f>
        <v>717.25859670999841</v>
      </c>
    </row>
    <row r="370" spans="1:1">
      <c r="A370" t="str">
        <f>PROPER(A2)</f>
        <v>16.6666666666667</v>
      </c>
    </row>
    <row r="371" spans="1:1">
      <c r="A371" s="3">
        <f>PV(A3/12, 12*A4, A2, , 0)</f>
        <v>-9.7333333332082557</v>
      </c>
    </row>
    <row r="372" spans="1:1">
      <c r="A372">
        <f>QUARTILE(A2:A9,1)</f>
        <v>1.2790213556970009</v>
      </c>
    </row>
    <row r="373" spans="1:1">
      <c r="A373" t="e">
        <f>_xlfn.QUARTILE.EXC(A2:A12,1)</f>
        <v>#NUM!</v>
      </c>
    </row>
    <row r="374" spans="1:1">
      <c r="A374">
        <f>_xlfn.QUARTILE.INC(A2:A9,1)</f>
        <v>1.2790213556970009</v>
      </c>
    </row>
    <row r="375" spans="1:1">
      <c r="A375">
        <f>QUOTIENT(5, 2)</f>
        <v>2</v>
      </c>
    </row>
    <row r="376" spans="1:1">
      <c r="A376">
        <f>RADIANS(270)</f>
        <v>4.7123889803846897</v>
      </c>
    </row>
    <row r="377" spans="1:1">
      <c r="A377">
        <f ca="1">RAND()</f>
        <v>5.5937494868537052E-2</v>
      </c>
    </row>
    <row r="378" spans="1:1">
      <c r="A378">
        <f ca="1">_xlfn.RANDARRAY()</f>
        <v>0.63193528794651455</v>
      </c>
    </row>
    <row r="379" spans="1:1">
      <c r="A379">
        <f ca="1">RANDBETWEEN(-1,1)</f>
        <v>-1</v>
      </c>
    </row>
    <row r="380" spans="1:1">
      <c r="A380" t="e">
        <f>_xlfn.RANK.AVG(94,B2:B8)</f>
        <v>#N/A</v>
      </c>
    </row>
    <row r="381" spans="1:1">
      <c r="A381">
        <f>_xlfn.RANK.EQ(A2,A2:A6,1)</f>
        <v>4</v>
      </c>
    </row>
    <row r="382" spans="1:1">
      <c r="A382">
        <f>RANK(A3,A2:A6,1)</f>
        <v>5</v>
      </c>
    </row>
    <row r="383" spans="1:1">
      <c r="A383" s="5" t="e">
        <f>RATE(A2*12, A3, A4)</f>
        <v>#NUM!</v>
      </c>
    </row>
    <row r="384" spans="1:1">
      <c r="A384">
        <f>RECEIVED(A2,A3,A4,A5,A6)</f>
        <v>2.1664468605937284</v>
      </c>
    </row>
    <row r="385" spans="1:1">
      <c r="A385" t="e">
        <f ca="1">_xludf.REDUCE()</f>
        <v>#NAME?</v>
      </c>
    </row>
    <row r="386" spans="1:1">
      <c r="A386" t="e">
        <f ca="1">_xludf.REGISTER.ID</f>
        <v>#NAME?</v>
      </c>
    </row>
    <row r="387" spans="1:1">
      <c r="A387" t="str">
        <f>REPLACE(A2,6,5,"*")</f>
        <v>16.66*666667</v>
      </c>
    </row>
    <row r="388" spans="1:1">
      <c r="A388" t="e">
        <f ca="1">REPLACEBS()</f>
        <v>#NAME?</v>
      </c>
    </row>
    <row r="389" spans="1:1">
      <c r="A389" t="str">
        <f>REPT("*-", 3)</f>
        <v>*-*-*-</v>
      </c>
    </row>
    <row r="390" spans="1:1">
      <c r="A390" t="str">
        <f>RIGHT(A2,5)</f>
        <v>66667</v>
      </c>
    </row>
    <row r="391" spans="1:1">
      <c r="A391" t="e">
        <f ca="1">RIGHTBS()</f>
        <v>#NAME?</v>
      </c>
    </row>
    <row r="392" spans="1:1">
      <c r="A392" t="str">
        <f>ROMAN(499,0)</f>
        <v>CDXCIX</v>
      </c>
    </row>
    <row r="393" spans="1:1">
      <c r="A393">
        <f>ROUND(2.15, 1)</f>
        <v>2.2000000000000002</v>
      </c>
    </row>
    <row r="394" spans="1:1">
      <c r="A394">
        <f>ROUNDDOWN(3.2, 0)</f>
        <v>3</v>
      </c>
    </row>
    <row r="395" spans="1:1">
      <c r="A395">
        <f>ROUNDUP(3.2,0)</f>
        <v>4</v>
      </c>
    </row>
    <row r="396" spans="1:1">
      <c r="A396">
        <f>ROW()</f>
        <v>396</v>
      </c>
    </row>
    <row r="397" spans="1:1">
      <c r="A397">
        <f>ROWS({1,2,3;4,5,6})</f>
        <v>2</v>
      </c>
    </row>
    <row r="398" spans="1:1">
      <c r="A398">
        <f>_xlfn.RRI(96,10000,11000)</f>
        <v>9.9330737629133026E-4</v>
      </c>
    </row>
    <row r="399" spans="1:1">
      <c r="A399" t="e">
        <f>RSQ(A3:A9, B3:B9)</f>
        <v>#DIV/0!</v>
      </c>
    </row>
    <row r="400" spans="1:1">
      <c r="A400" t="e">
        <f ca="1">RTD("mycomaddin.progid",,"Server_name","Price")</f>
        <v>#NAME?</v>
      </c>
    </row>
    <row r="401" spans="1:1">
      <c r="A401" t="e">
        <f ca="1">_xludf.SCAN()</f>
        <v>#NAME?</v>
      </c>
    </row>
    <row r="402" spans="1:1">
      <c r="A402" t="e">
        <f>SEARCH("e",A2,6)</f>
        <v>#VALUE!</v>
      </c>
    </row>
    <row r="403" spans="1:1">
      <c r="A403" t="e">
        <f ca="1">SEARCHBS()</f>
        <v>#NAME?</v>
      </c>
    </row>
    <row r="404" spans="1:1">
      <c r="A404">
        <f>_xlfn.SEC(45)</f>
        <v>1.9035944074044246</v>
      </c>
    </row>
    <row r="405" spans="1:1">
      <c r="A405">
        <f>_xlfn.SECH(45)</f>
        <v>5.7250371610987873E-20</v>
      </c>
    </row>
    <row r="406" spans="1:1">
      <c r="A406">
        <f>SECOND(A3)</f>
        <v>2</v>
      </c>
    </row>
    <row r="407" spans="1:1">
      <c r="A407" t="e">
        <f ca="1">_xludf.SEQUENCE()</f>
        <v>#NAME?</v>
      </c>
    </row>
    <row r="408" spans="1:1">
      <c r="A408">
        <f>SERIESSUM(A3,0,2,A4:A7)</f>
        <v>12746716.117401304</v>
      </c>
    </row>
    <row r="409" spans="1:1">
      <c r="A409">
        <f ca="1">_xlfn.SHEET()</f>
        <v>1</v>
      </c>
    </row>
    <row r="410" spans="1:1">
      <c r="A410">
        <f ca="1">_xlfn.SHEETS()</f>
        <v>1</v>
      </c>
    </row>
    <row r="411" spans="1:1">
      <c r="A411">
        <f>SIGN(4-4)</f>
        <v>0</v>
      </c>
    </row>
    <row r="412" spans="1:1">
      <c r="A412">
        <f>SIN(RADIANS(30))</f>
        <v>0.49999999999999994</v>
      </c>
    </row>
    <row r="413" spans="1:1">
      <c r="A413">
        <f>2.868*SINH(0.0342*1.03)</f>
        <v>0.10104906311828733</v>
      </c>
    </row>
    <row r="414" spans="1:1">
      <c r="A414" t="e">
        <f>SKEW(A2:A11)</f>
        <v>#NUM!</v>
      </c>
    </row>
    <row r="415" spans="1:1">
      <c r="A415" t="e">
        <f>_xlfn.SKEW.P(A2:A11)</f>
        <v>#NUM!</v>
      </c>
    </row>
    <row r="416" spans="1:1">
      <c r="A416" s="3">
        <f>SLN(A2, A3, A4)</f>
        <v>-1.853173994905631</v>
      </c>
    </row>
    <row r="417" spans="1:1">
      <c r="A417" t="e">
        <f>SLOPE(A3:A9,B3:B9)</f>
        <v>#DIV/0!</v>
      </c>
    </row>
    <row r="418" spans="1:1">
      <c r="A418" t="e">
        <f>SMALL(A2:A10,4)</f>
        <v>#NUM!</v>
      </c>
    </row>
    <row r="419" spans="1:1">
      <c r="A419" t="e">
        <f ca="1">_xludf.SORT</f>
        <v>#NAME?</v>
      </c>
    </row>
    <row r="420" spans="1:1">
      <c r="A420" t="e">
        <f ca="1">_xludf.SORTBY()</f>
        <v>#NAME?</v>
      </c>
    </row>
    <row r="421" spans="1:1">
      <c r="A421">
        <f>SQRT(16)</f>
        <v>4</v>
      </c>
    </row>
    <row r="422" spans="1:1">
      <c r="A422">
        <f>SQRTPI(2)</f>
        <v>2.5066282746310002</v>
      </c>
    </row>
    <row r="423" spans="1:1">
      <c r="A423">
        <f>STANDARDIZE(A2,A3,A4)</f>
        <v>-1.853173994905631</v>
      </c>
    </row>
    <row r="424" spans="1:1">
      <c r="A424" t="e">
        <f ca="1">_xludf.STOCKHISTORY()</f>
        <v>#NAME?</v>
      </c>
    </row>
    <row r="425" spans="1:1">
      <c r="A425" t="e">
        <f>STDEV(A3:A12)</f>
        <v>#NUM!</v>
      </c>
    </row>
    <row r="426" spans="1:1">
      <c r="A426" t="e">
        <f>_xlfn.STDEV.P(A3:A12)</f>
        <v>#NUM!</v>
      </c>
    </row>
    <row r="427" spans="1:1">
      <c r="A427" t="e">
        <f>_xlfn.STDEV.S(A2:A11)</f>
        <v>#NUM!</v>
      </c>
    </row>
    <row r="428" spans="1:1">
      <c r="A428" t="e">
        <f>STDEVA(A3:A12)</f>
        <v>#NUM!</v>
      </c>
    </row>
    <row r="429" spans="1:1">
      <c r="A429" t="e">
        <f>STDEVP(A3:A12)</f>
        <v>#NUM!</v>
      </c>
    </row>
    <row r="430" spans="1:1">
      <c r="A430" t="e">
        <f>STDEVPA(A3:A12)</f>
        <v>#NUM!</v>
      </c>
    </row>
    <row r="431" spans="1:1">
      <c r="A431" t="e">
        <f>STEYX(A3:A9,B3:B9)</f>
        <v>#DIV/0!</v>
      </c>
    </row>
    <row r="432" spans="1:1">
      <c r="A432" t="str">
        <f>SUBSTITUTE(A2, "Sales", "Cost")</f>
        <v>16.6666666666667</v>
      </c>
    </row>
    <row r="433" spans="1:1">
      <c r="A433">
        <f>SUBTOTAL(9,A2:A5)</f>
        <v>42.302229820665687</v>
      </c>
    </row>
    <row r="434" spans="1:1">
      <c r="A434" t="e">
        <f>SUM(A2:A10)</f>
        <v>#NUM!</v>
      </c>
    </row>
    <row r="435" spans="1:1">
      <c r="A435">
        <f>SUMIF(A2:A5,"&gt;160000",B2:B5)</f>
        <v>0</v>
      </c>
    </row>
    <row r="436" spans="1:1">
      <c r="A436">
        <f>SUMIFS(A2:A9, B2:B9, "=A*", C2:C9, "Tom")</f>
        <v>0</v>
      </c>
    </row>
    <row r="437" spans="1:1">
      <c r="A437">
        <f>SUMPRODUCT(A1:A2)</f>
        <v>17.666666666666664</v>
      </c>
    </row>
    <row r="438" spans="1:1">
      <c r="A438">
        <f>SUMSQ(3, 4)</f>
        <v>25</v>
      </c>
    </row>
    <row r="439" spans="1:1">
      <c r="A439" t="e">
        <f>SUMX2MY2(A2:A8,B2:B8)</f>
        <v>#DIV/0!</v>
      </c>
    </row>
    <row r="440" spans="1:1">
      <c r="A440" t="e">
        <f>SUMX2PY2(A3:A9,B3:B9)</f>
        <v>#DIV/0!</v>
      </c>
    </row>
    <row r="441" spans="1:1">
      <c r="A441" t="e">
        <f>SUMXMY2(A3:A9,B3:B9)</f>
        <v>#DIV/0!</v>
      </c>
    </row>
    <row r="442" spans="1:1">
      <c r="A442" t="e">
        <f ca="1">_xludf.SWITCH()</f>
        <v>#NAME?</v>
      </c>
    </row>
    <row r="443" spans="1:1">
      <c r="A443" s="3">
        <f>SYD(A2,A3,A4,1)</f>
        <v>-2.5085862731692004</v>
      </c>
    </row>
    <row r="444" spans="1:1">
      <c r="A444" t="str">
        <f>T(A2)</f>
        <v/>
      </c>
    </row>
    <row r="445" spans="1:1">
      <c r="A445">
        <f>TAN(0.785)</f>
        <v>0.99920399010504268</v>
      </c>
    </row>
    <row r="446" spans="1:1">
      <c r="A446">
        <f>TANH(0.5)</f>
        <v>0.46211715726000979</v>
      </c>
    </row>
    <row r="447" spans="1:1">
      <c r="A447" t="e">
        <f ca="1">_xludf.TAKE()</f>
        <v>#NAME?</v>
      </c>
    </row>
    <row r="448" spans="1:1">
      <c r="A448">
        <f>TBILLEQ(A2,A3,A4)</f>
        <v>2.1740769922007792</v>
      </c>
    </row>
    <row r="449" spans="1:1">
      <c r="A449">
        <f>TBILLPRICE(A2,A3,A4)</f>
        <v>97.672894330674225</v>
      </c>
    </row>
    <row r="450" spans="1:1">
      <c r="A450">
        <f>TBILLYIELD(A2,A3,A4)</f>
        <v>4207.1834634811739</v>
      </c>
    </row>
    <row r="451" spans="1:1">
      <c r="A451">
        <f>_xlfn.T.DIST(60,1,TRUE)</f>
        <v>0.99469532636737668</v>
      </c>
    </row>
    <row r="452" spans="1:1">
      <c r="A452">
        <f>_xlfn.T.DIST.2T(A2,A3)</f>
        <v>3.3967387224547389E-13</v>
      </c>
    </row>
    <row r="453" spans="1:1">
      <c r="A453">
        <f>_xlfn.T.DIST.RT(A2,A3)</f>
        <v>1.6983693612273694E-13</v>
      </c>
    </row>
    <row r="454" spans="1:1">
      <c r="A454">
        <f>TDIST(A2,A3,2)</f>
        <v>3.3967387224547389E-13</v>
      </c>
    </row>
    <row r="455" spans="1:1">
      <c r="A455" t="str">
        <f>TEXT(1234.567,"$#,##0.00")</f>
        <v>$1,234.57</v>
      </c>
    </row>
    <row r="456" spans="1:1">
      <c r="A456" t="e">
        <f ca="1">_xludf.TEXTAFTER()</f>
        <v>#NAME?</v>
      </c>
    </row>
    <row r="457" spans="1:1">
      <c r="A457" t="e">
        <f ca="1">_xludf.TEXTBEFORE()</f>
        <v>#NAME?</v>
      </c>
    </row>
    <row r="458" spans="1:1">
      <c r="A458" t="e">
        <f ca="1">_xludf.TEXTJOIN()</f>
        <v>#NAME?</v>
      </c>
    </row>
    <row r="459" spans="1:1">
      <c r="A459" t="e">
        <f ca="1">_xludf.TEXTSPLIT()</f>
        <v>#NAME?</v>
      </c>
    </row>
    <row r="460" spans="1:1">
      <c r="A460" s="4">
        <f>TIME(A2,B2,C2)</f>
        <v>0.66666666666666663</v>
      </c>
    </row>
    <row r="461" spans="1:1">
      <c r="A461">
        <f>TIMEVALUE("2:24 AM")</f>
        <v>0.1</v>
      </c>
    </row>
    <row r="462" spans="1:1">
      <c r="A462">
        <f>_xlfn.T.INV(0.75,2)</f>
        <v>0.81649658092772592</v>
      </c>
    </row>
    <row r="463" spans="1:1">
      <c r="A463" t="e">
        <f>_xlfn.T.INV.2T(A2,A3)</f>
        <v>#NUM!</v>
      </c>
    </row>
    <row r="464" spans="1:1">
      <c r="A464" t="e">
        <f>TINV(A2,A3)</f>
        <v>#NUM!</v>
      </c>
    </row>
    <row r="465" spans="1:1">
      <c r="A465" t="e">
        <f ca="1">_xludf.TOCOL()</f>
        <v>#NAME?</v>
      </c>
    </row>
    <row r="466" spans="1:1">
      <c r="A466" t="e">
        <f ca="1">_xludf.TOROW()</f>
        <v>#NAME?</v>
      </c>
    </row>
    <row r="467" spans="1:1">
      <c r="A467" s="2">
        <f ca="1">TODAY()</f>
        <v>45472</v>
      </c>
    </row>
    <row r="468" spans="1:1">
      <c r="A468" t="e">
        <f>TRANSPOSE(A1:B2)</f>
        <v>#VALUE!</v>
      </c>
    </row>
    <row r="469" spans="1:1">
      <c r="A469">
        <f>TREND(A1:A5)</f>
        <v>10.77761113853728</v>
      </c>
    </row>
    <row r="470" spans="1:1">
      <c r="A470" t="str">
        <f>TRIM(" First Quarter Earnings ")</f>
        <v>First Quarter Earnings</v>
      </c>
    </row>
    <row r="471" spans="1:1">
      <c r="A471" t="e">
        <f>TRIMMEAN(A2:A12,0.2)</f>
        <v>#NUM!</v>
      </c>
    </row>
    <row r="472" spans="1:1">
      <c r="A472" t="b">
        <f>TRUE</f>
        <v>1</v>
      </c>
    </row>
    <row r="473" spans="1:1">
      <c r="A473">
        <f>TRUNC(8.9)</f>
        <v>8</v>
      </c>
    </row>
    <row r="474" spans="1:1">
      <c r="A474" t="e">
        <f>_xlfn.T.TEST(A2:A10,B2:B10,2,1)</f>
        <v>#NUM!</v>
      </c>
    </row>
    <row r="475" spans="1:1">
      <c r="A475" t="e">
        <f>TTEST(A2:A10,B2:B10,2,1)</f>
        <v>#NUM!</v>
      </c>
    </row>
    <row r="476" spans="1:1">
      <c r="A476">
        <f>TYPE(A2)</f>
        <v>1</v>
      </c>
    </row>
    <row r="477" spans="1:1">
      <c r="A477" t="str">
        <f>_xlfn.UNICHAR(66)</f>
        <v>B</v>
      </c>
    </row>
    <row r="478" spans="1:1">
      <c r="A478">
        <f>_xlfn.UNICODE(" ")</f>
        <v>32</v>
      </c>
    </row>
    <row r="479" spans="1:1">
      <c r="A479" t="e">
        <f ca="1">_xludf.UNIQUE()</f>
        <v>#NAME?</v>
      </c>
    </row>
    <row r="480" spans="1:1">
      <c r="A480" t="str">
        <f>UPPER(A2)</f>
        <v>16.6666666666667</v>
      </c>
    </row>
    <row r="481" spans="1:1">
      <c r="A481" t="e">
        <f>VALUE("$1,000")</f>
        <v>#VALUE!</v>
      </c>
    </row>
    <row r="482" spans="1:1">
      <c r="A482" t="e">
        <f ca="1">_xludf.VALUETOTEXT()</f>
        <v>#NAME?</v>
      </c>
    </row>
    <row r="483" spans="1:1">
      <c r="A483" t="e">
        <f>VAR(A2:A11)</f>
        <v>#NUM!</v>
      </c>
    </row>
    <row r="484" spans="1:1">
      <c r="A484" t="e">
        <f>_xlfn.VAR.P(A2:A11)</f>
        <v>#NUM!</v>
      </c>
    </row>
    <row r="485" spans="1:1">
      <c r="A485" t="e">
        <f>_xlfn.VAR.S(A2:A11)</f>
        <v>#NUM!</v>
      </c>
    </row>
    <row r="486" spans="1:1">
      <c r="A486" t="e">
        <f>VARA(A2:A11)</f>
        <v>#NUM!</v>
      </c>
    </row>
    <row r="487" spans="1:1">
      <c r="A487" t="e">
        <f>VARP(A2:A11)</f>
        <v>#NUM!</v>
      </c>
    </row>
    <row r="488" spans="1:1">
      <c r="A488" t="e">
        <f>VARPA(A2:A11)</f>
        <v>#NUM!</v>
      </c>
    </row>
    <row r="489" spans="1:1">
      <c r="A489" s="3">
        <f>VDB(A2, A3, A4*365, 0, 1)</f>
        <v>-3.8812785388127864</v>
      </c>
    </row>
    <row r="490" spans="1:1">
      <c r="A490">
        <f>VLOOKUP(A1, A1:A2, 1, FALSE)</f>
        <v>1</v>
      </c>
    </row>
    <row r="491" spans="1:1">
      <c r="A491" t="e">
        <f ca="1">_xludf.VSTACK()</f>
        <v>#NAME?</v>
      </c>
    </row>
    <row r="492" spans="1:1">
      <c r="A492" t="e">
        <f>_xlfn.WEBSERVICE("")</f>
        <v>#VALUE!</v>
      </c>
    </row>
    <row r="493" spans="1:1">
      <c r="A493">
        <f>WEEKDAY(A2)</f>
        <v>2</v>
      </c>
    </row>
    <row r="494" spans="1:1">
      <c r="A494">
        <f>WEEKNUM(A2)</f>
        <v>3</v>
      </c>
    </row>
    <row r="495" spans="1:1">
      <c r="A495">
        <f>WEIBULL(A2,A3,A4,TRUE)</f>
        <v>1</v>
      </c>
    </row>
    <row r="496" spans="1:1">
      <c r="A496">
        <f>_xlfn.WEIBULL.DIST(A2,A3,A4,TRUE)</f>
        <v>1</v>
      </c>
    </row>
    <row r="497" spans="1:1">
      <c r="A497">
        <f>WORKDAY(A2,A3)</f>
        <v>44</v>
      </c>
    </row>
    <row r="498" spans="1:1">
      <c r="A498">
        <f>WORKDAY.INTL(DATE(2012,1,1),90,11)</f>
        <v>41013</v>
      </c>
    </row>
    <row r="499" spans="1:1">
      <c r="A499" t="e">
        <f ca="1">_xludf.WRAPCOLS()</f>
        <v>#NAME?</v>
      </c>
    </row>
    <row r="500" spans="1:1">
      <c r="A500" t="e">
        <f ca="1">_xludf.WRAPROWS()</f>
        <v>#NAME?</v>
      </c>
    </row>
    <row r="501" spans="1:1">
      <c r="A501" t="e">
        <f>XIRR(A3:A7, B3:B7, 0.1)</f>
        <v>#NUM!</v>
      </c>
    </row>
    <row r="502" spans="1:1">
      <c r="A502" t="e">
        <f ca="1">_xludf.XLOOKUP()</f>
        <v>#NAME?</v>
      </c>
    </row>
    <row r="503" spans="1:1">
      <c r="A503" t="e">
        <f ca="1">_xludf.XMATCH()</f>
        <v>#NAME?</v>
      </c>
    </row>
    <row r="504" spans="1:1">
      <c r="A504" t="e">
        <f>XNPV(0.09, A2:A6, B2:B6)</f>
        <v>#VALUE!</v>
      </c>
    </row>
    <row r="505" spans="1:1">
      <c r="A505" t="b">
        <f>_xlfn.XOR(3&gt;0,2&lt;9)</f>
        <v>0</v>
      </c>
    </row>
    <row r="506" spans="1:1">
      <c r="A506">
        <f>YEAR(A4)</f>
        <v>1900</v>
      </c>
    </row>
    <row r="507" spans="1:1">
      <c r="A507">
        <f>YEARFRAC(A2,A3)</f>
        <v>1.1111111111111112E-2</v>
      </c>
    </row>
    <row r="508" spans="1:1">
      <c r="A508" t="e">
        <f>YIELD(A2,A3,A4,A5,A6,A7,A8)</f>
        <v>#NUM!</v>
      </c>
    </row>
    <row r="509" spans="1:1">
      <c r="A509">
        <f>YIELDDISC(A2,A3,A4,A5,A6)</f>
        <v>38.624277168883374</v>
      </c>
    </row>
    <row r="510" spans="1:1">
      <c r="A510">
        <f>YIELDMAT(A2,A3,A4,A5,A6,A7)</f>
        <v>764.84018548306301</v>
      </c>
    </row>
    <row r="511" spans="1:1">
      <c r="A511" t="e">
        <f>_xlfn.Z.TEST(A2:A11,4)</f>
        <v>#NUM!</v>
      </c>
    </row>
    <row r="512" spans="1:1">
      <c r="A512" t="e">
        <f>ZTEST(A2:A11,4)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Ayush Agrawal</dc:creator>
  <cp:keywords/>
  <dc:description/>
  <cp:lastModifiedBy/>
  <cp:revision/>
  <dcterms:created xsi:type="dcterms:W3CDTF">2024-06-28T16:48:27Z</dcterms:created>
  <dcterms:modified xsi:type="dcterms:W3CDTF">2024-06-28T21:55:24Z</dcterms:modified>
  <cp:category/>
  <cp:contentStatus/>
</cp:coreProperties>
</file>