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lewis.sms.ed.ac.uk\home\s1921836\Year 5\Thesis and Research Method Notes\Github Excel Sheets\"/>
    </mc:Choice>
  </mc:AlternateContent>
  <xr:revisionPtr revIDLastSave="0" documentId="13_ncr:1_{83967F3F-9212-458F-9531-E31F81A34ED8}" xr6:coauthVersionLast="47" xr6:coauthVersionMax="47" xr10:uidLastSave="{00000000-0000-0000-0000-000000000000}"/>
  <bookViews>
    <workbookView xWindow="-120" yWindow="-120" windowWidth="29040" windowHeight="15840" activeTab="1" xr2:uid="{83376CA0-9DA3-4C18-8A75-3D55E53F0B7E}"/>
  </bookViews>
  <sheets>
    <sheet name="Choosing LA" sheetId="14" r:id="rId1"/>
    <sheet name="West Lindsey Charger Forecast" sheetId="15" r:id="rId2"/>
    <sheet name="West Lindsey charging demand" sheetId="4" r:id="rId3"/>
    <sheet name="Bristol Charging Data" sheetId="12" r:id="rId4"/>
    <sheet name="Bristol EV Charger Forecast" sheetId="1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2" l="1"/>
  <c r="H53" i="12"/>
  <c r="H52" i="12"/>
  <c r="H51" i="12"/>
  <c r="H50" i="12"/>
  <c r="F53" i="15"/>
  <c r="F54" i="15"/>
  <c r="F55" i="15"/>
  <c r="F56" i="15"/>
  <c r="F52" i="15"/>
  <c r="E20" i="15"/>
  <c r="E21" i="15" s="1"/>
  <c r="G19" i="15"/>
  <c r="G20" i="15" s="1"/>
  <c r="F19" i="15"/>
  <c r="E18" i="15"/>
  <c r="F18" i="15" s="1"/>
  <c r="E17" i="15"/>
  <c r="G17" i="15" s="1"/>
  <c r="E16" i="15"/>
  <c r="G16" i="15" s="1"/>
  <c r="H15" i="15"/>
  <c r="F15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F17" i="15" l="1"/>
  <c r="G18" i="15"/>
  <c r="I18" i="15" s="1"/>
  <c r="I17" i="15"/>
  <c r="E22" i="15"/>
  <c r="F21" i="15"/>
  <c r="H16" i="15"/>
  <c r="I16" i="15"/>
  <c r="I20" i="15"/>
  <c r="G21" i="15"/>
  <c r="H20" i="15"/>
  <c r="F20" i="15"/>
  <c r="F16" i="15"/>
  <c r="H18" i="15"/>
  <c r="H19" i="15"/>
  <c r="I19" i="15"/>
  <c r="H17" i="15"/>
  <c r="G22" i="15" l="1"/>
  <c r="H21" i="15"/>
  <c r="I21" i="15"/>
  <c r="F22" i="15"/>
  <c r="E23" i="15"/>
  <c r="H22" i="15" l="1"/>
  <c r="I22" i="15"/>
  <c r="G23" i="15"/>
  <c r="F23" i="15"/>
  <c r="E24" i="15"/>
  <c r="F24" i="15" l="1"/>
  <c r="E25" i="15"/>
  <c r="H23" i="15"/>
  <c r="I23" i="15"/>
  <c r="G24" i="15"/>
  <c r="G25" i="15" l="1"/>
  <c r="I24" i="15"/>
  <c r="H24" i="15"/>
  <c r="E26" i="15"/>
  <c r="F25" i="15"/>
  <c r="F26" i="15" l="1"/>
  <c r="E27" i="15"/>
  <c r="G26" i="15"/>
  <c r="I25" i="15"/>
  <c r="H25" i="15"/>
  <c r="E28" i="15" l="1"/>
  <c r="F27" i="15"/>
  <c r="G27" i="15"/>
  <c r="I26" i="15"/>
  <c r="H26" i="15"/>
  <c r="I27" i="15" l="1"/>
  <c r="H27" i="15"/>
  <c r="G28" i="15"/>
  <c r="F28" i="15"/>
  <c r="E29" i="15"/>
  <c r="E30" i="15" l="1"/>
  <c r="F29" i="15"/>
  <c r="G29" i="15"/>
  <c r="I28" i="15"/>
  <c r="H28" i="15"/>
  <c r="G30" i="15" l="1"/>
  <c r="H29" i="15"/>
  <c r="I29" i="15"/>
  <c r="F30" i="15"/>
  <c r="E31" i="15"/>
  <c r="F31" i="15" l="1"/>
  <c r="E32" i="15"/>
  <c r="H30" i="15"/>
  <c r="G31" i="15"/>
  <c r="I30" i="15"/>
  <c r="G32" i="15" l="1"/>
  <c r="H31" i="15"/>
  <c r="I31" i="15"/>
  <c r="E33" i="15"/>
  <c r="F32" i="15"/>
  <c r="E34" i="15" l="1"/>
  <c r="F33" i="15"/>
  <c r="G33" i="15"/>
  <c r="I32" i="15"/>
  <c r="H32" i="15"/>
  <c r="G34" i="15" l="1"/>
  <c r="H33" i="15"/>
  <c r="I33" i="15"/>
  <c r="F34" i="15"/>
  <c r="E35" i="15"/>
  <c r="E36" i="15" l="1"/>
  <c r="F35" i="15"/>
  <c r="I34" i="15"/>
  <c r="G35" i="15"/>
  <c r="H34" i="15"/>
  <c r="I35" i="15" l="1"/>
  <c r="G36" i="15"/>
  <c r="H35" i="15"/>
  <c r="F36" i="15"/>
  <c r="E37" i="15"/>
  <c r="E38" i="15" l="1"/>
  <c r="F37" i="15"/>
  <c r="G37" i="15"/>
  <c r="I36" i="15"/>
  <c r="H36" i="15"/>
  <c r="G38" i="15" l="1"/>
  <c r="H37" i="15"/>
  <c r="I37" i="15"/>
  <c r="F38" i="15"/>
  <c r="E39" i="15"/>
  <c r="E40" i="15" l="1"/>
  <c r="F39" i="15"/>
  <c r="I38" i="15"/>
  <c r="G39" i="15"/>
  <c r="H38" i="15"/>
  <c r="H39" i="15" l="1"/>
  <c r="I39" i="15"/>
  <c r="G40" i="15" s="1"/>
  <c r="F40" i="15"/>
  <c r="E41" i="15"/>
  <c r="I40" i="15" l="1"/>
  <c r="G41" i="15" s="1"/>
  <c r="H40" i="15"/>
  <c r="E42" i="15"/>
  <c r="F41" i="15"/>
  <c r="H41" i="15" l="1"/>
  <c r="I41" i="15"/>
  <c r="G42" i="15" s="1"/>
  <c r="F42" i="15"/>
  <c r="E43" i="15"/>
  <c r="H42" i="15" l="1"/>
  <c r="I42" i="15"/>
  <c r="G43" i="15" s="1"/>
  <c r="F43" i="15"/>
  <c r="E44" i="15"/>
  <c r="H43" i="15" l="1"/>
  <c r="I43" i="15"/>
  <c r="G44" i="15"/>
  <c r="E45" i="15"/>
  <c r="F44" i="15"/>
  <c r="E46" i="15" l="1"/>
  <c r="F46" i="15" s="1"/>
  <c r="F45" i="15"/>
  <c r="I44" i="15"/>
  <c r="G45" i="15" s="1"/>
  <c r="H44" i="15"/>
  <c r="I45" i="15" l="1"/>
  <c r="G46" i="15" s="1"/>
  <c r="H45" i="15"/>
  <c r="I46" i="15" l="1"/>
  <c r="H46" i="15"/>
  <c r="F4" i="14" l="1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2"/>
  <c r="G18" i="12" s="1"/>
  <c r="F17" i="12"/>
  <c r="F16" i="12"/>
  <c r="F15" i="12"/>
  <c r="I14" i="12"/>
  <c r="G14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V6" i="11"/>
  <c r="I28" i="11" s="1"/>
  <c r="V7" i="11"/>
  <c r="I29" i="11" s="1"/>
  <c r="H29" i="11" s="1"/>
  <c r="D29" i="11" s="1"/>
  <c r="O8" i="11"/>
  <c r="P8" i="11"/>
  <c r="V8" i="11"/>
  <c r="O9" i="11"/>
  <c r="P9" i="11"/>
  <c r="V9" i="11"/>
  <c r="I31" i="11" s="1"/>
  <c r="H31" i="11" s="1"/>
  <c r="O10" i="11"/>
  <c r="P10" i="11"/>
  <c r="V10" i="11"/>
  <c r="O11" i="11"/>
  <c r="P11" i="11"/>
  <c r="U11" i="11"/>
  <c r="K33" i="11" s="1"/>
  <c r="V11" i="11"/>
  <c r="I33" i="11" s="1"/>
  <c r="H33" i="11" s="1"/>
  <c r="D33" i="11" s="1"/>
  <c r="O12" i="11"/>
  <c r="P12" i="11"/>
  <c r="U12" i="11"/>
  <c r="V12" i="11" s="1"/>
  <c r="I34" i="11" s="1"/>
  <c r="H34" i="11" s="1"/>
  <c r="U13" i="11"/>
  <c r="U14" i="11"/>
  <c r="V14" i="11" s="1"/>
  <c r="I36" i="11" s="1"/>
  <c r="H36" i="11" s="1"/>
  <c r="G15" i="11"/>
  <c r="H15" i="11"/>
  <c r="L15" i="11" s="1"/>
  <c r="K15" i="11"/>
  <c r="U15" i="11"/>
  <c r="V15" i="11"/>
  <c r="I37" i="11" s="1"/>
  <c r="H37" i="11" s="1"/>
  <c r="G16" i="11"/>
  <c r="H16" i="11"/>
  <c r="H24" i="11" s="1"/>
  <c r="K16" i="11"/>
  <c r="L16" i="11"/>
  <c r="T16" i="11"/>
  <c r="U16" i="11"/>
  <c r="K38" i="11" s="1"/>
  <c r="G17" i="11"/>
  <c r="H17" i="11" s="1"/>
  <c r="H25" i="11" s="1"/>
  <c r="K17" i="11"/>
  <c r="L17" i="11"/>
  <c r="T17" i="11"/>
  <c r="V17" i="11" s="1"/>
  <c r="I39" i="11" s="1"/>
  <c r="H39" i="11" s="1"/>
  <c r="D39" i="11" s="1"/>
  <c r="G18" i="11"/>
  <c r="H18" i="11"/>
  <c r="H26" i="11" s="1"/>
  <c r="K18" i="11"/>
  <c r="L18" i="11"/>
  <c r="G19" i="11"/>
  <c r="H19" i="11"/>
  <c r="H27" i="11" s="1"/>
  <c r="K19" i="11"/>
  <c r="C23" i="11"/>
  <c r="D23" i="11"/>
  <c r="F23" i="11"/>
  <c r="G23" i="11"/>
  <c r="L23" i="11"/>
  <c r="M23" i="11"/>
  <c r="N23" i="11"/>
  <c r="C24" i="11"/>
  <c r="D24" i="11"/>
  <c r="F24" i="11"/>
  <c r="L24" i="11"/>
  <c r="C25" i="11"/>
  <c r="D25" i="11"/>
  <c r="F25" i="11"/>
  <c r="K40" i="11" s="1"/>
  <c r="G25" i="11"/>
  <c r="I40" i="11" s="1"/>
  <c r="H40" i="11" s="1"/>
  <c r="D40" i="11" s="1"/>
  <c r="L25" i="11"/>
  <c r="N25" i="11"/>
  <c r="C26" i="11"/>
  <c r="D26" i="11"/>
  <c r="F26" i="11" s="1"/>
  <c r="K41" i="11" s="1"/>
  <c r="C27" i="11"/>
  <c r="D27" i="11"/>
  <c r="F27" i="11"/>
  <c r="G27" i="11"/>
  <c r="I42" i="11" s="1"/>
  <c r="H42" i="11" s="1"/>
  <c r="D42" i="11" s="1"/>
  <c r="K28" i="11"/>
  <c r="K29" i="11"/>
  <c r="I30" i="11"/>
  <c r="H30" i="11" s="1"/>
  <c r="K30" i="11"/>
  <c r="K31" i="11"/>
  <c r="I32" i="11"/>
  <c r="H32" i="11" s="1"/>
  <c r="D32" i="11" s="1"/>
  <c r="K32" i="11"/>
  <c r="K34" i="11"/>
  <c r="K36" i="11"/>
  <c r="K37" i="11"/>
  <c r="K39" i="11"/>
  <c r="K42" i="11"/>
  <c r="C74" i="4"/>
  <c r="D74" i="4"/>
  <c r="E74" i="4"/>
  <c r="C75" i="4"/>
  <c r="D75" i="4"/>
  <c r="E75" i="4"/>
  <c r="C76" i="4"/>
  <c r="D76" i="4"/>
  <c r="E76" i="4"/>
  <c r="C77" i="4"/>
  <c r="D77" i="4"/>
  <c r="E77" i="4"/>
  <c r="D36" i="11" l="1"/>
  <c r="D30" i="11"/>
  <c r="G24" i="11"/>
  <c r="D34" i="11"/>
  <c r="D37" i="11"/>
  <c r="H23" i="11"/>
  <c r="D31" i="11"/>
  <c r="L19" i="11"/>
  <c r="G15" i="12"/>
  <c r="G16" i="12"/>
  <c r="H16" i="12"/>
  <c r="F19" i="12"/>
  <c r="H15" i="12"/>
  <c r="H18" i="12"/>
  <c r="G17" i="12"/>
  <c r="H17" i="12"/>
  <c r="F32" i="11"/>
  <c r="K47" i="11" s="1"/>
  <c r="G32" i="11"/>
  <c r="I47" i="11" s="1"/>
  <c r="H47" i="11" s="1"/>
  <c r="D47" i="11" s="1"/>
  <c r="F42" i="11"/>
  <c r="G42" i="11" s="1"/>
  <c r="G34" i="11"/>
  <c r="I49" i="11" s="1"/>
  <c r="H49" i="11" s="1"/>
  <c r="D49" i="11" s="1"/>
  <c r="F34" i="11"/>
  <c r="K49" i="11" s="1"/>
  <c r="F30" i="11"/>
  <c r="K45" i="11" s="1"/>
  <c r="G30" i="11"/>
  <c r="I45" i="11" s="1"/>
  <c r="F40" i="11"/>
  <c r="K55" i="11" s="1"/>
  <c r="F39" i="11"/>
  <c r="K54" i="11" s="1"/>
  <c r="F33" i="11"/>
  <c r="K48" i="11" s="1"/>
  <c r="M24" i="11"/>
  <c r="N24" i="11"/>
  <c r="G26" i="11"/>
  <c r="I41" i="11" s="1"/>
  <c r="H41" i="11" s="1"/>
  <c r="D41" i="11" s="1"/>
  <c r="F31" i="11"/>
  <c r="K46" i="11" s="1"/>
  <c r="G31" i="11"/>
  <c r="I46" i="11" s="1"/>
  <c r="H46" i="11" s="1"/>
  <c r="D46" i="11" s="1"/>
  <c r="F37" i="11"/>
  <c r="K52" i="11" s="1"/>
  <c r="G37" i="11"/>
  <c r="I52" i="11" s="1"/>
  <c r="H52" i="11" s="1"/>
  <c r="D52" i="11" s="1"/>
  <c r="V16" i="11"/>
  <c r="I38" i="11" s="1"/>
  <c r="H38" i="11" s="1"/>
  <c r="D38" i="11" s="1"/>
  <c r="F29" i="11"/>
  <c r="K44" i="11" s="1"/>
  <c r="V13" i="11"/>
  <c r="I35" i="11" s="1"/>
  <c r="K35" i="11"/>
  <c r="H28" i="11"/>
  <c r="D28" i="11" s="1"/>
  <c r="L26" i="11"/>
  <c r="M25" i="11"/>
  <c r="G36" i="11" l="1"/>
  <c r="I51" i="11" s="1"/>
  <c r="H51" i="11" s="1"/>
  <c r="D51" i="11" s="1"/>
  <c r="F51" i="11" s="1"/>
  <c r="G51" i="11" s="1"/>
  <c r="F36" i="11"/>
  <c r="K51" i="11" s="1"/>
  <c r="J17" i="12"/>
  <c r="I17" i="12"/>
  <c r="J18" i="12"/>
  <c r="H19" i="12"/>
  <c r="I18" i="12"/>
  <c r="J15" i="12"/>
  <c r="I15" i="12"/>
  <c r="F20" i="12"/>
  <c r="G19" i="12"/>
  <c r="J16" i="12"/>
  <c r="I16" i="12"/>
  <c r="F49" i="11"/>
  <c r="G49" i="11" s="1"/>
  <c r="M26" i="11"/>
  <c r="L27" i="11"/>
  <c r="H45" i="11"/>
  <c r="D45" i="11" s="1"/>
  <c r="F41" i="11"/>
  <c r="G41" i="11" s="1"/>
  <c r="G33" i="11"/>
  <c r="I48" i="11" s="1"/>
  <c r="H48" i="11" s="1"/>
  <c r="D48" i="11" s="1"/>
  <c r="G39" i="11"/>
  <c r="I54" i="11" s="1"/>
  <c r="H54" i="11" s="1"/>
  <c r="D54" i="11" s="1"/>
  <c r="C28" i="11"/>
  <c r="F28" i="11"/>
  <c r="K43" i="11" s="1"/>
  <c r="G28" i="11"/>
  <c r="I43" i="11" s="1"/>
  <c r="H43" i="11" s="1"/>
  <c r="D43" i="11" s="1"/>
  <c r="G29" i="11"/>
  <c r="I44" i="11" s="1"/>
  <c r="H44" i="11" s="1"/>
  <c r="D44" i="11" s="1"/>
  <c r="N26" i="11"/>
  <c r="G40" i="11"/>
  <c r="I55" i="11" s="1"/>
  <c r="H35" i="11"/>
  <c r="D35" i="11" s="1"/>
  <c r="F38" i="11"/>
  <c r="K53" i="11" s="1"/>
  <c r="F52" i="11"/>
  <c r="G52" i="11" s="1"/>
  <c r="F47" i="11"/>
  <c r="G47" i="11"/>
  <c r="F46" i="11"/>
  <c r="G46" i="11" s="1"/>
  <c r="G38" i="11" l="1"/>
  <c r="I53" i="11" s="1"/>
  <c r="H53" i="11" s="1"/>
  <c r="D53" i="11" s="1"/>
  <c r="F53" i="11" s="1"/>
  <c r="G53" i="11" s="1"/>
  <c r="F21" i="12"/>
  <c r="G20" i="12"/>
  <c r="I19" i="12"/>
  <c r="J19" i="12"/>
  <c r="H20" i="12"/>
  <c r="F44" i="11"/>
  <c r="G44" i="11" s="1"/>
  <c r="F35" i="11"/>
  <c r="K50" i="11" s="1"/>
  <c r="F43" i="11"/>
  <c r="G43" i="11" s="1"/>
  <c r="C29" i="11"/>
  <c r="H55" i="11"/>
  <c r="D55" i="11" s="1"/>
  <c r="F54" i="11"/>
  <c r="G54" i="11" s="1"/>
  <c r="F45" i="11"/>
  <c r="G45" i="11" s="1"/>
  <c r="M27" i="11"/>
  <c r="N27" i="11"/>
  <c r="L28" i="11"/>
  <c r="F48" i="11"/>
  <c r="G48" i="11" s="1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23" i="4"/>
  <c r="K32" i="4"/>
  <c r="D40" i="4"/>
  <c r="H21" i="12" l="1"/>
  <c r="J20" i="12"/>
  <c r="I20" i="12"/>
  <c r="G21" i="12"/>
  <c r="F22" i="12"/>
  <c r="L29" i="11"/>
  <c r="M28" i="11"/>
  <c r="F55" i="11"/>
  <c r="G55" i="11" s="1"/>
  <c r="G35" i="11"/>
  <c r="I50" i="11" s="1"/>
  <c r="H50" i="11" s="1"/>
  <c r="D50" i="11" s="1"/>
  <c r="N28" i="11"/>
  <c r="N29" i="11"/>
  <c r="C30" i="11"/>
  <c r="D28" i="4"/>
  <c r="D29" i="4"/>
  <c r="D30" i="4"/>
  <c r="D31" i="4"/>
  <c r="D32" i="4"/>
  <c r="D33" i="4"/>
  <c r="D34" i="4"/>
  <c r="D35" i="4"/>
  <c r="D36" i="4"/>
  <c r="D37" i="4"/>
  <c r="D38" i="4"/>
  <c r="D39" i="4"/>
  <c r="F23" i="12" l="1"/>
  <c r="G22" i="12"/>
  <c r="J21" i="12"/>
  <c r="I21" i="12"/>
  <c r="H22" i="12"/>
  <c r="C31" i="11"/>
  <c r="F50" i="11"/>
  <c r="G50" i="11" s="1"/>
  <c r="M29" i="11"/>
  <c r="L30" i="11"/>
  <c r="I22" i="12" l="1"/>
  <c r="H23" i="12"/>
  <c r="J22" i="12"/>
  <c r="F24" i="12"/>
  <c r="G23" i="12"/>
  <c r="L31" i="11"/>
  <c r="N31" i="11" s="1"/>
  <c r="M30" i="11"/>
  <c r="C32" i="11"/>
  <c r="N30" i="11"/>
  <c r="K29" i="4"/>
  <c r="K30" i="4"/>
  <c r="K31" i="4"/>
  <c r="K33" i="4"/>
  <c r="K34" i="4"/>
  <c r="K35" i="4"/>
  <c r="K36" i="4"/>
  <c r="K37" i="4"/>
  <c r="K38" i="4"/>
  <c r="K39" i="4"/>
  <c r="K28" i="4"/>
  <c r="U17" i="4"/>
  <c r="U16" i="4"/>
  <c r="T17" i="4"/>
  <c r="T16" i="4"/>
  <c r="V16" i="4" s="1"/>
  <c r="I38" i="4" s="1"/>
  <c r="V17" i="4"/>
  <c r="I39" i="4" s="1"/>
  <c r="I29" i="4"/>
  <c r="I30" i="4"/>
  <c r="I31" i="4"/>
  <c r="I32" i="4"/>
  <c r="I33" i="4"/>
  <c r="I34" i="4"/>
  <c r="I35" i="4"/>
  <c r="I36" i="4"/>
  <c r="I37" i="4"/>
  <c r="F26" i="4"/>
  <c r="F27" i="4"/>
  <c r="F25" i="4"/>
  <c r="F24" i="4"/>
  <c r="F23" i="4"/>
  <c r="V9" i="4"/>
  <c r="T10" i="4"/>
  <c r="V10" i="4" s="1"/>
  <c r="U11" i="4"/>
  <c r="V11" i="4"/>
  <c r="U12" i="4"/>
  <c r="V12" i="4"/>
  <c r="U13" i="4"/>
  <c r="V13" i="4"/>
  <c r="U14" i="4"/>
  <c r="V14" i="4"/>
  <c r="U15" i="4"/>
  <c r="V15" i="4"/>
  <c r="G15" i="4"/>
  <c r="J23" i="12" l="1"/>
  <c r="I23" i="12"/>
  <c r="H24" i="12"/>
  <c r="F25" i="12"/>
  <c r="G24" i="12"/>
  <c r="C33" i="11"/>
  <c r="M31" i="11"/>
  <c r="L32" i="11"/>
  <c r="E19" i="4"/>
  <c r="E18" i="4"/>
  <c r="E17" i="4"/>
  <c r="E16" i="4"/>
  <c r="E15" i="4"/>
  <c r="H8" i="4"/>
  <c r="H9" i="4"/>
  <c r="H10" i="4"/>
  <c r="H11" i="4"/>
  <c r="H12" i="4"/>
  <c r="M12" i="4"/>
  <c r="N12" i="4" s="1"/>
  <c r="P12" i="4" s="1"/>
  <c r="M11" i="4"/>
  <c r="I10" i="4"/>
  <c r="M10" i="4" s="1"/>
  <c r="J9" i="4"/>
  <c r="M9" i="4" s="1"/>
  <c r="M8" i="4"/>
  <c r="D27" i="4"/>
  <c r="D23" i="4"/>
  <c r="D24" i="4"/>
  <c r="D25" i="4"/>
  <c r="D26" i="4"/>
  <c r="F26" i="12" l="1"/>
  <c r="G25" i="12"/>
  <c r="H25" i="12"/>
  <c r="J24" i="12"/>
  <c r="I24" i="12"/>
  <c r="L33" i="11"/>
  <c r="M32" i="11"/>
  <c r="N33" i="11"/>
  <c r="C34" i="11"/>
  <c r="N32" i="11"/>
  <c r="O11" i="4"/>
  <c r="N10" i="4"/>
  <c r="P10" i="4" s="1"/>
  <c r="N11" i="4"/>
  <c r="P11" i="4" s="1"/>
  <c r="N8" i="4"/>
  <c r="P8" i="4" s="1"/>
  <c r="O8" i="4"/>
  <c r="N9" i="4"/>
  <c r="P9" i="4" s="1"/>
  <c r="O12" i="4"/>
  <c r="J25" i="12" l="1"/>
  <c r="I25" i="12"/>
  <c r="H26" i="12"/>
  <c r="G26" i="12"/>
  <c r="F27" i="12"/>
  <c r="C35" i="11"/>
  <c r="M33" i="11"/>
  <c r="L34" i="11"/>
  <c r="O10" i="4"/>
  <c r="O9" i="4"/>
  <c r="H36" i="4"/>
  <c r="H30" i="4"/>
  <c r="H28" i="4"/>
  <c r="K41" i="4"/>
  <c r="H37" i="4"/>
  <c r="H35" i="4"/>
  <c r="H34" i="4"/>
  <c r="H33" i="4"/>
  <c r="H32" i="4"/>
  <c r="V8" i="4"/>
  <c r="H31" i="4" s="1"/>
  <c r="V7" i="4"/>
  <c r="H29" i="4" s="1"/>
  <c r="V6" i="4"/>
  <c r="I28" i="4" s="1"/>
  <c r="D19" i="4"/>
  <c r="F19" i="4" s="1"/>
  <c r="C19" i="4"/>
  <c r="D18" i="4"/>
  <c r="F18" i="4" s="1"/>
  <c r="C18" i="4"/>
  <c r="D17" i="4"/>
  <c r="F17" i="4" s="1"/>
  <c r="L25" i="4" s="1"/>
  <c r="L26" i="4" s="1"/>
  <c r="L27" i="4" s="1"/>
  <c r="C17" i="4"/>
  <c r="D16" i="4"/>
  <c r="C16" i="4"/>
  <c r="D15" i="4"/>
  <c r="F15" i="4" s="1"/>
  <c r="L23" i="4" s="1"/>
  <c r="C15" i="4"/>
  <c r="F28" i="12" l="1"/>
  <c r="G27" i="12"/>
  <c r="J26" i="12"/>
  <c r="I26" i="12"/>
  <c r="H27" i="12"/>
  <c r="L35" i="11"/>
  <c r="M34" i="11"/>
  <c r="C36" i="11"/>
  <c r="N35" i="11"/>
  <c r="N34" i="11"/>
  <c r="F29" i="4"/>
  <c r="F30" i="4"/>
  <c r="F28" i="4"/>
  <c r="K43" i="4" s="1"/>
  <c r="G18" i="4"/>
  <c r="H18" i="4" s="1"/>
  <c r="H26" i="4" s="1"/>
  <c r="G19" i="4"/>
  <c r="H19" i="4" s="1"/>
  <c r="H15" i="4"/>
  <c r="G16" i="4"/>
  <c r="H16" i="4" s="1"/>
  <c r="F16" i="4"/>
  <c r="L24" i="4" s="1"/>
  <c r="C25" i="4"/>
  <c r="G17" i="4"/>
  <c r="H17" i="4" s="1"/>
  <c r="N23" i="4"/>
  <c r="M23" i="4"/>
  <c r="K40" i="4"/>
  <c r="G25" i="4"/>
  <c r="I40" i="4" s="1"/>
  <c r="G26" i="4"/>
  <c r="K42" i="4"/>
  <c r="I27" i="12" l="1"/>
  <c r="H28" i="12"/>
  <c r="J27" i="12"/>
  <c r="F29" i="12"/>
  <c r="G28" i="12"/>
  <c r="C37" i="11"/>
  <c r="M35" i="11"/>
  <c r="L36" i="11"/>
  <c r="F32" i="4"/>
  <c r="K47" i="4" s="1"/>
  <c r="F37" i="4"/>
  <c r="G37" i="4" s="1"/>
  <c r="F36" i="4"/>
  <c r="K51" i="4" s="1"/>
  <c r="F34" i="4"/>
  <c r="K49" i="4" s="1"/>
  <c r="F33" i="4"/>
  <c r="G33" i="4" s="1"/>
  <c r="F31" i="4"/>
  <c r="G31" i="4" s="1"/>
  <c r="F35" i="4"/>
  <c r="K50" i="4" s="1"/>
  <c r="G24" i="4"/>
  <c r="H24" i="4"/>
  <c r="I41" i="4"/>
  <c r="H41" i="4" s="1"/>
  <c r="D41" i="4" s="1"/>
  <c r="L28" i="4"/>
  <c r="L29" i="4" s="1"/>
  <c r="N24" i="4"/>
  <c r="M24" i="4"/>
  <c r="H27" i="4"/>
  <c r="H23" i="4"/>
  <c r="C26" i="4"/>
  <c r="M26" i="4" s="1"/>
  <c r="H25" i="4"/>
  <c r="G23" i="4"/>
  <c r="K44" i="4"/>
  <c r="K45" i="4"/>
  <c r="N25" i="4"/>
  <c r="M25" i="4"/>
  <c r="G28" i="4"/>
  <c r="G27" i="4"/>
  <c r="G29" i="4"/>
  <c r="G29" i="12" l="1"/>
  <c r="F30" i="12"/>
  <c r="H29" i="12"/>
  <c r="J28" i="12"/>
  <c r="I28" i="12"/>
  <c r="L37" i="11"/>
  <c r="M36" i="11"/>
  <c r="C38" i="11"/>
  <c r="N37" i="11"/>
  <c r="N36" i="11"/>
  <c r="G32" i="4"/>
  <c r="I47" i="4" s="1"/>
  <c r="H47" i="4" s="1"/>
  <c r="D47" i="4" s="1"/>
  <c r="K48" i="4"/>
  <c r="G36" i="4"/>
  <c r="I51" i="4" s="1"/>
  <c r="H51" i="4" s="1"/>
  <c r="D51" i="4" s="1"/>
  <c r="K46" i="4"/>
  <c r="K52" i="4"/>
  <c r="G34" i="4"/>
  <c r="I49" i="4" s="1"/>
  <c r="H49" i="4" s="1"/>
  <c r="D49" i="4" s="1"/>
  <c r="G35" i="4"/>
  <c r="I50" i="4" s="1"/>
  <c r="H50" i="4" s="1"/>
  <c r="D50" i="4" s="1"/>
  <c r="F41" i="4"/>
  <c r="G41" i="4" s="1"/>
  <c r="L30" i="4"/>
  <c r="L31" i="4" s="1"/>
  <c r="L32" i="4" s="1"/>
  <c r="L33" i="4" s="1"/>
  <c r="L34" i="4" s="1"/>
  <c r="L35" i="4" s="1"/>
  <c r="L36" i="4" s="1"/>
  <c r="L37" i="4" s="1"/>
  <c r="I42" i="4"/>
  <c r="H42" i="4" s="1"/>
  <c r="D42" i="4" s="1"/>
  <c r="G30" i="4"/>
  <c r="I45" i="4" s="1"/>
  <c r="H45" i="4" s="1"/>
  <c r="D45" i="4" s="1"/>
  <c r="C27" i="4"/>
  <c r="N26" i="4"/>
  <c r="I44" i="4"/>
  <c r="H44" i="4" s="1"/>
  <c r="D44" i="4" s="1"/>
  <c r="I46" i="4"/>
  <c r="I52" i="4"/>
  <c r="H52" i="4" s="1"/>
  <c r="I43" i="4"/>
  <c r="H43" i="4" s="1"/>
  <c r="D43" i="4" s="1"/>
  <c r="I48" i="4"/>
  <c r="H48" i="4" s="1"/>
  <c r="M27" i="4"/>
  <c r="J29" i="12" l="1"/>
  <c r="I29" i="12"/>
  <c r="H30" i="12"/>
  <c r="G30" i="12"/>
  <c r="F31" i="12"/>
  <c r="C39" i="11"/>
  <c r="M37" i="11"/>
  <c r="L38" i="11"/>
  <c r="H46" i="4"/>
  <c r="D46" i="4" s="1"/>
  <c r="D48" i="4"/>
  <c r="D52" i="4"/>
  <c r="F43" i="4"/>
  <c r="G43" i="4" s="1"/>
  <c r="F46" i="4"/>
  <c r="F50" i="4"/>
  <c r="G50" i="4" s="1"/>
  <c r="F42" i="4"/>
  <c r="G42" i="4" s="1"/>
  <c r="C28" i="4"/>
  <c r="N28" i="4" s="1"/>
  <c r="N27" i="4"/>
  <c r="F48" i="4"/>
  <c r="F47" i="4"/>
  <c r="F52" i="4"/>
  <c r="F49" i="4"/>
  <c r="F51" i="4"/>
  <c r="F44" i="4"/>
  <c r="F32" i="12" l="1"/>
  <c r="G31" i="12"/>
  <c r="H31" i="12"/>
  <c r="J30" i="12"/>
  <c r="I30" i="12"/>
  <c r="L39" i="11"/>
  <c r="M38" i="11"/>
  <c r="N39" i="11"/>
  <c r="C40" i="11"/>
  <c r="N38" i="11"/>
  <c r="F45" i="4"/>
  <c r="G45" i="4" s="1"/>
  <c r="C29" i="4"/>
  <c r="N29" i="4" s="1"/>
  <c r="M28" i="4"/>
  <c r="G52" i="4"/>
  <c r="G49" i="4"/>
  <c r="G47" i="4"/>
  <c r="G51" i="4"/>
  <c r="G48" i="4"/>
  <c r="G46" i="4"/>
  <c r="H32" i="12" l="1"/>
  <c r="I31" i="12"/>
  <c r="J31" i="12"/>
  <c r="F33" i="12"/>
  <c r="G32" i="12"/>
  <c r="C41" i="11"/>
  <c r="M39" i="11"/>
  <c r="L40" i="11"/>
  <c r="C30" i="4"/>
  <c r="N30" i="4" s="1"/>
  <c r="M29" i="4"/>
  <c r="G44" i="4"/>
  <c r="G33" i="12" l="1"/>
  <c r="F34" i="12"/>
  <c r="H33" i="12"/>
  <c r="J32" i="12"/>
  <c r="I32" i="12"/>
  <c r="L41" i="11"/>
  <c r="M40" i="11"/>
  <c r="N41" i="11"/>
  <c r="C42" i="11"/>
  <c r="N40" i="11"/>
  <c r="C31" i="4"/>
  <c r="M31" i="4" s="1"/>
  <c r="M30" i="4"/>
  <c r="F35" i="12" l="1"/>
  <c r="G34" i="12"/>
  <c r="J33" i="12"/>
  <c r="I33" i="12"/>
  <c r="H34" i="12"/>
  <c r="C43" i="11"/>
  <c r="M41" i="11"/>
  <c r="L42" i="11"/>
  <c r="C32" i="4"/>
  <c r="N32" i="4" s="1"/>
  <c r="N31" i="4"/>
  <c r="I34" i="12" l="1"/>
  <c r="J34" i="12"/>
  <c r="H35" i="12"/>
  <c r="F36" i="12"/>
  <c r="G35" i="12"/>
  <c r="L43" i="11"/>
  <c r="M42" i="11"/>
  <c r="N43" i="11"/>
  <c r="C44" i="11"/>
  <c r="N42" i="11"/>
  <c r="C33" i="4"/>
  <c r="C34" i="4" s="1"/>
  <c r="C35" i="4" s="1"/>
  <c r="C36" i="4" s="1"/>
  <c r="C37" i="4" s="1"/>
  <c r="M32" i="4"/>
  <c r="F37" i="12" l="1"/>
  <c r="G36" i="12"/>
  <c r="J35" i="12"/>
  <c r="H36" i="12"/>
  <c r="I35" i="12"/>
  <c r="C45" i="11"/>
  <c r="M43" i="11"/>
  <c r="L44" i="11"/>
  <c r="M34" i="4"/>
  <c r="M33" i="4"/>
  <c r="N33" i="4"/>
  <c r="N34" i="4"/>
  <c r="M35" i="4"/>
  <c r="N35" i="4"/>
  <c r="H37" i="12" l="1"/>
  <c r="J36" i="12"/>
  <c r="I36" i="12"/>
  <c r="G37" i="12"/>
  <c r="F38" i="12"/>
  <c r="L45" i="11"/>
  <c r="M44" i="11"/>
  <c r="N45" i="11"/>
  <c r="C46" i="11"/>
  <c r="N44" i="11"/>
  <c r="M36" i="4"/>
  <c r="N36" i="4"/>
  <c r="F39" i="12" l="1"/>
  <c r="G38" i="12"/>
  <c r="J37" i="12"/>
  <c r="I37" i="12"/>
  <c r="H38" i="12"/>
  <c r="C47" i="11"/>
  <c r="M45" i="11"/>
  <c r="L46" i="11"/>
  <c r="M37" i="4"/>
  <c r="N37" i="4"/>
  <c r="J38" i="12" l="1"/>
  <c r="I38" i="12"/>
  <c r="H39" i="12"/>
  <c r="F40" i="12"/>
  <c r="G39" i="12"/>
  <c r="L47" i="11"/>
  <c r="M46" i="11"/>
  <c r="C48" i="11"/>
  <c r="N47" i="11"/>
  <c r="N46" i="11"/>
  <c r="J39" i="12" l="1"/>
  <c r="H40" i="12"/>
  <c r="I39" i="12"/>
  <c r="F41" i="12"/>
  <c r="G40" i="12"/>
  <c r="C49" i="11"/>
  <c r="M47" i="11"/>
  <c r="L48" i="11"/>
  <c r="G41" i="12" l="1"/>
  <c r="F42" i="12"/>
  <c r="J40" i="12"/>
  <c r="H41" i="12" s="1"/>
  <c r="I40" i="12"/>
  <c r="L49" i="11"/>
  <c r="M48" i="11"/>
  <c r="N49" i="11"/>
  <c r="C50" i="11"/>
  <c r="N48" i="11"/>
  <c r="J41" i="12" l="1"/>
  <c r="I41" i="12"/>
  <c r="H42" i="12"/>
  <c r="G42" i="12"/>
  <c r="F43" i="12"/>
  <c r="C51" i="11"/>
  <c r="M49" i="11"/>
  <c r="L50" i="11"/>
  <c r="J42" i="12" l="1"/>
  <c r="H43" i="12" s="1"/>
  <c r="I42" i="12"/>
  <c r="F44" i="12"/>
  <c r="G43" i="12"/>
  <c r="L51" i="11"/>
  <c r="M50" i="11"/>
  <c r="N51" i="11"/>
  <c r="C52" i="11"/>
  <c r="N50" i="11"/>
  <c r="J43" i="12" l="1"/>
  <c r="H44" i="12" s="1"/>
  <c r="I43" i="12"/>
  <c r="F45" i="12"/>
  <c r="G45" i="12" s="1"/>
  <c r="G44" i="12"/>
  <c r="C53" i="11"/>
  <c r="M51" i="11"/>
  <c r="L52" i="11"/>
  <c r="J44" i="12" l="1"/>
  <c r="H45" i="12" s="1"/>
  <c r="I44" i="12"/>
  <c r="C54" i="11"/>
  <c r="L53" i="11"/>
  <c r="M52" i="11"/>
  <c r="N52" i="11"/>
  <c r="J45" i="12" l="1"/>
  <c r="I45" i="12"/>
  <c r="M53" i="11"/>
  <c r="L54" i="11"/>
  <c r="N54" i="11"/>
  <c r="C55" i="11"/>
  <c r="N53" i="11"/>
  <c r="H40" i="4"/>
  <c r="L55" i="11" l="1"/>
  <c r="M55" i="11" s="1"/>
  <c r="M54" i="11"/>
  <c r="F40" i="4"/>
  <c r="H39" i="4"/>
  <c r="H38" i="4"/>
  <c r="N55" i="11" l="1"/>
  <c r="F39" i="4"/>
  <c r="K54" i="4" s="1"/>
  <c r="F38" i="4"/>
  <c r="K55" i="4"/>
  <c r="G39" i="4" l="1"/>
  <c r="I54" i="4" s="1"/>
  <c r="H54" i="4" s="1"/>
  <c r="D54" i="4" s="1"/>
  <c r="K53" i="4"/>
  <c r="L38" i="4"/>
  <c r="G40" i="4"/>
  <c r="I55" i="4" s="1"/>
  <c r="H55" i="4" s="1"/>
  <c r="D55" i="4" s="1"/>
  <c r="G38" i="4"/>
  <c r="I53" i="4" s="1"/>
  <c r="H53" i="4" s="1"/>
  <c r="D53" i="4" s="1"/>
  <c r="C38" i="4"/>
  <c r="F54" i="4" l="1"/>
  <c r="G54" i="4" s="1"/>
  <c r="F53" i="4"/>
  <c r="G53" i="4" s="1"/>
  <c r="F55" i="4"/>
  <c r="G55" i="4" s="1"/>
  <c r="C39" i="4"/>
  <c r="N38" i="4"/>
  <c r="L39" i="4"/>
  <c r="M38" i="4"/>
  <c r="L40" i="4" l="1"/>
  <c r="M39" i="4"/>
  <c r="C40" i="4"/>
  <c r="N39" i="4"/>
  <c r="C41" i="4" l="1"/>
  <c r="N40" i="4"/>
  <c r="L41" i="4"/>
  <c r="M40" i="4"/>
  <c r="C42" i="4" l="1"/>
  <c r="N41" i="4"/>
  <c r="L42" i="4"/>
  <c r="M41" i="4"/>
  <c r="L43" i="4" l="1"/>
  <c r="M42" i="4"/>
  <c r="C43" i="4"/>
  <c r="N42" i="4"/>
  <c r="C44" i="4" l="1"/>
  <c r="N43" i="4"/>
  <c r="L44" i="4"/>
  <c r="M43" i="4"/>
  <c r="L45" i="4" l="1"/>
  <c r="M44" i="4"/>
  <c r="C45" i="4"/>
  <c r="N44" i="4"/>
  <c r="C46" i="4" l="1"/>
  <c r="N45" i="4"/>
  <c r="L46" i="4"/>
  <c r="M45" i="4"/>
  <c r="L47" i="4" l="1"/>
  <c r="M46" i="4"/>
  <c r="C47" i="4"/>
  <c r="N46" i="4"/>
  <c r="C48" i="4" l="1"/>
  <c r="N47" i="4"/>
  <c r="L48" i="4"/>
  <c r="M47" i="4"/>
  <c r="L49" i="4" l="1"/>
  <c r="M48" i="4"/>
  <c r="C49" i="4"/>
  <c r="N48" i="4"/>
  <c r="C50" i="4" l="1"/>
  <c r="N49" i="4"/>
  <c r="L50" i="4"/>
  <c r="M49" i="4"/>
  <c r="L51" i="4" l="1"/>
  <c r="M50" i="4"/>
  <c r="C51" i="4"/>
  <c r="N50" i="4"/>
  <c r="C52" i="4" l="1"/>
  <c r="N51" i="4"/>
  <c r="L52" i="4"/>
  <c r="M51" i="4"/>
  <c r="L53" i="4" l="1"/>
  <c r="M52" i="4"/>
  <c r="C53" i="4"/>
  <c r="N52" i="4"/>
  <c r="C54" i="4" l="1"/>
  <c r="N53" i="4"/>
  <c r="L54" i="4"/>
  <c r="M53" i="4"/>
  <c r="M54" i="4" l="1"/>
  <c r="L55" i="4"/>
  <c r="C55" i="4"/>
  <c r="N54" i="4"/>
  <c r="N55" i="4" l="1"/>
  <c r="M5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MCQUAID Thomas</author>
  </authors>
  <commentList>
    <comment ref="D13" authorId="0" shapeId="0" xr:uid="{BAF53FE0-9B38-400E-84CF-4079CD9C0FA2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From Previous Sheet</t>
        </r>
      </text>
    </comment>
    <comment ref="E13" authorId="0" shapeId="0" xr:uid="{CDC0013B-E22A-487C-9BED-2E8FC7AF09A8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Average current increase/ anumn of public chargers</t>
        </r>
      </text>
    </comment>
    <comment ref="G13" authorId="0" shapeId="0" xr:uid="{1C709825-4BDB-438F-8A90-1D22DBD0F342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What is required at a minimum</t>
        </r>
      </text>
    </comment>
    <comment ref="C20" authorId="0" shapeId="0" xr:uid="{84E4C094-E01B-4D4C-A1F4-7D720F8A3FC3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Start of forecast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MCQUAID Thomas</author>
  </authors>
  <commentList>
    <comment ref="C14" authorId="0" shapeId="0" xr:uid="{FB91EB92-F8F8-4AF0-B0F4-BC6C670D4D57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veh0105 data
</t>
        </r>
      </text>
    </comment>
    <comment ref="D14" authorId="0" shapeId="0" xr:uid="{AB4396BF-765D-4813-8388-2EE6B74E7492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veh 0142
</t>
        </r>
      </text>
    </comment>
    <comment ref="E22" authorId="0" shapeId="0" xr:uid="{55120463-42EB-40D7-92D4-5FD7C9693D8D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Taken from the Model!</t>
        </r>
      </text>
    </comment>
    <comment ref="F25" authorId="0" shapeId="0" xr:uid="{9D25E020-731F-4583-AF1C-9E5E16477507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Goes from actual data to model</t>
        </r>
      </text>
    </comment>
    <comment ref="D28" authorId="0" shapeId="0" xr:uid="{15F46130-F292-4FA6-9BEA-716BD7D7AF86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Goes from actual data to prediction assuming amount of small vehicles purchased is a factor of the amount of small vehicles decomisioned</t>
        </r>
      </text>
    </comment>
    <comment ref="H28" authorId="0" shapeId="0" xr:uid="{72A0502F-7D06-44A7-9FBD-C69AF43EF7BA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Goes from Actual data to 15 year rule with residual to allow for ICEs to eventually decrease to 0</t>
        </r>
      </text>
    </comment>
    <comment ref="I28" authorId="0" shapeId="0" xr:uid="{332F85A2-EBD5-4458-AD04-62935BEA36FD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Taken from 2008 data in top right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MCQUAID Thomas</author>
  </authors>
  <commentList>
    <comment ref="S5" authorId="0" shapeId="0" xr:uid="{3DAF1F9A-8FB6-47D8-8818-2EF2A18205BA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Goes to 50kW+ in data due to fact as of 1st October speed catogries uptated in line with industyry to 50kW</t>
        </r>
      </text>
    </comment>
    <comment ref="S7" authorId="0" shapeId="0" xr:uid="{49B1366F-D10E-41F4-88D3-EBBE9C7F7451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See above comment
</t>
        </r>
      </text>
    </comment>
    <comment ref="F12" authorId="0" shapeId="0" xr:uid="{ADA2B5E3-C9C1-43AC-A6A3-D5CFDE8819D1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Current Average Increase Rate/Anumn from dip</t>
        </r>
      </text>
    </comment>
    <comment ref="G12" authorId="0" shapeId="0" xr:uid="{9ADFCBFF-B3FF-4622-BEBA-9B3E95BF2C34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Figure out ration by looking at private parking % + share of cars that are privatly owned. Rest will need charging </t>
        </r>
      </text>
    </comment>
    <comment ref="H12" authorId="0" shapeId="0" xr:uid="{3BDB67E6-B97B-401B-BA52-B91FED5FEED1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Required Increse/ Anumn
</t>
        </r>
      </text>
    </comment>
    <comment ref="H28" authorId="0" shapeId="0" xr:uid="{076E1D3B-E7BE-41F4-A0F0-699E52F5E94D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Change as no reason to go past 1:25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MCQUAID Thomas</author>
  </authors>
  <commentList>
    <comment ref="C14" authorId="0" shapeId="0" xr:uid="{562DDFD2-81D2-4114-A665-E49E53B6CC9C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veh0105 data
</t>
        </r>
      </text>
    </comment>
    <comment ref="D14" authorId="0" shapeId="0" xr:uid="{A26F6610-3844-423E-BE7D-2A3A5E0B2FD5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veh 0142
</t>
        </r>
      </text>
    </comment>
    <comment ref="E22" authorId="0" shapeId="0" xr:uid="{D32FF2C4-7C4F-4BFC-9F06-47A211176F8F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Taken from the Model!</t>
        </r>
      </text>
    </comment>
    <comment ref="F25" authorId="0" shapeId="0" xr:uid="{A2A9177D-948A-4156-98A7-4241F01537DA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Goes from actual data to model</t>
        </r>
      </text>
    </comment>
    <comment ref="D28" authorId="0" shapeId="0" xr:uid="{74A25916-298E-4D87-8FDE-69F42DDEA921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Goes from actual data to prediction assuming amount of small vehicles purchased is a factor of the amount of small vehicles decomisioned</t>
        </r>
      </text>
    </comment>
    <comment ref="H28" authorId="0" shapeId="0" xr:uid="{6D160263-286B-4AFE-B2A9-12EC60D210F9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Goes from Actual data to 15 year rule with residual to allow for ICEs to eventually decrease to 0</t>
        </r>
      </text>
    </comment>
    <comment ref="I28" authorId="0" shapeId="0" xr:uid="{11DD0FA0-4750-4C60-B113-AF23A54FF156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Taken from 2008 data in top right</t>
        </r>
      </text>
    </comment>
  </commentList>
</comments>
</file>

<file path=xl/sharedStrings.xml><?xml version="1.0" encoding="utf-8"?>
<sst xmlns="http://schemas.openxmlformats.org/spreadsheetml/2006/main" count="237" uniqueCount="120">
  <si>
    <t>Year</t>
  </si>
  <si>
    <t>Total</t>
  </si>
  <si>
    <t>Oct-19</t>
  </si>
  <si>
    <t>Jan-20</t>
  </si>
  <si>
    <t>Apr-20</t>
  </si>
  <si>
    <t>Jul-20</t>
  </si>
  <si>
    <t>Oct-20</t>
  </si>
  <si>
    <t>Jan-21</t>
  </si>
  <si>
    <t>Apr-21</t>
  </si>
  <si>
    <t>Jul-21</t>
  </si>
  <si>
    <t>Oct-21</t>
  </si>
  <si>
    <t>Jan-22</t>
  </si>
  <si>
    <t>Apr-22</t>
  </si>
  <si>
    <t>Jul-22</t>
  </si>
  <si>
    <t>Oct-22</t>
  </si>
  <si>
    <t>Jan-23</t>
  </si>
  <si>
    <t>Apr-23</t>
  </si>
  <si>
    <t>Jul-23</t>
  </si>
  <si>
    <t>Oct-23</t>
  </si>
  <si>
    <t>Overall Chargers</t>
  </si>
  <si>
    <t>Rapid Chargers 25 Kw and above</t>
  </si>
  <si>
    <t>Overall Chargers/100,000</t>
  </si>
  <si>
    <t>Rapid Chargers 25 Kw and above/100,000</t>
  </si>
  <si>
    <t>% Chargers Rapid</t>
  </si>
  <si>
    <t>Battery eletric</t>
  </si>
  <si>
    <t>Plug-in Hybrids</t>
  </si>
  <si>
    <t>Cars</t>
  </si>
  <si>
    <t>Light good vehicles</t>
  </si>
  <si>
    <t>Total Vehicles</t>
  </si>
  <si>
    <t>Company</t>
  </si>
  <si>
    <t>Private</t>
  </si>
  <si>
    <t xml:space="preserve">Total </t>
  </si>
  <si>
    <t>Total of plug in</t>
  </si>
  <si>
    <t>Q4</t>
  </si>
  <si>
    <t>Total BEV</t>
  </si>
  <si>
    <t>Total PHEV</t>
  </si>
  <si>
    <t>#vehicles lost</t>
  </si>
  <si>
    <t>Total small vehicles</t>
  </si>
  <si>
    <t>New registrations</t>
  </si>
  <si>
    <t>EV Registrations</t>
  </si>
  <si>
    <t>Non-Ev Registrations</t>
  </si>
  <si>
    <t>Non Evs subtracted</t>
  </si>
  <si>
    <t>EVs subtracted</t>
  </si>
  <si>
    <t>Total EVs</t>
  </si>
  <si>
    <t>% of vehilces</t>
  </si>
  <si>
    <t>Total Non Evs</t>
  </si>
  <si>
    <t>Residual</t>
  </si>
  <si>
    <t>Total EV</t>
  </si>
  <si>
    <t>Ratio</t>
  </si>
  <si>
    <t>% Plug</t>
  </si>
  <si>
    <t>% BEV of EVs</t>
  </si>
  <si>
    <t>Total  Vehicles</t>
  </si>
  <si>
    <t xml:space="preserve">Overall change </t>
  </si>
  <si>
    <t>West Lindsley EV Uptake Data using veh 0142,0105 and veh 9901</t>
  </si>
  <si>
    <t>New Regisrations</t>
  </si>
  <si>
    <t>EVs</t>
  </si>
  <si>
    <t>Non- EVs</t>
  </si>
  <si>
    <t>N/A</t>
  </si>
  <si>
    <t xml:space="preserve">% Forecasted EV Registrations </t>
  </si>
  <si>
    <t>15 Year Rule</t>
  </si>
  <si>
    <t>\</t>
  </si>
  <si>
    <t>Small Vehicles Decomisioned</t>
  </si>
  <si>
    <t>End of Year (Q4)</t>
  </si>
  <si>
    <t>24% increase</t>
  </si>
  <si>
    <t>Increase per Year</t>
  </si>
  <si>
    <t>49% increase from now - including 2030</t>
  </si>
  <si>
    <t>170 Increase fom 2031 to end of 2043</t>
  </si>
  <si>
    <t>Decrease in increase amount of 20%/year from 2043 onwards</t>
  </si>
  <si>
    <t>Residental on-street</t>
  </si>
  <si>
    <t>Destination</t>
  </si>
  <si>
    <t>Transit</t>
  </si>
  <si>
    <t>EVs to Public EV Chargers</t>
  </si>
  <si>
    <t>Low Charging Demand</t>
  </si>
  <si>
    <t>Medium Charging Demand</t>
  </si>
  <si>
    <t>High Charging Demand</t>
  </si>
  <si>
    <t>Recommended Increase increase</t>
  </si>
  <si>
    <t xml:space="preserve">Ratios by 2030 according to Annex 5 of 2022 UK EV Charging strategy
</t>
  </si>
  <si>
    <t>Bristols One City Plan 2020: https://www.bristolonecity.com/wp-content/uploads/2020/01/One-City-Plan_2020.pdf</t>
  </si>
  <si>
    <t>Vehicles Lost</t>
  </si>
  <si>
    <t>New Registerstration</t>
  </si>
  <si>
    <t xml:space="preserve">Year </t>
  </si>
  <si>
    <t>City of Brisol EV Uptake Data using veh 0142,0105 and veh 9901</t>
  </si>
  <si>
    <t>Year (Q4)</t>
  </si>
  <si>
    <t>8.5% Increase</t>
  </si>
  <si>
    <t>Required Demand ratio is sat at around 1:25 - 42 using UK Gov and ofgem data for City of Bristol</t>
  </si>
  <si>
    <t>Increase/year</t>
  </si>
  <si>
    <t>1 to 24.7</t>
  </si>
  <si>
    <t>1 to 34.2</t>
  </si>
  <si>
    <t>1 to 42.4</t>
  </si>
  <si>
    <t>38% increase from now - including 2030</t>
  </si>
  <si>
    <t>500 Increase fom 2031 to end of 2045</t>
  </si>
  <si>
    <t>Decrease in increase amount of 30%/year from 2046 onwards</t>
  </si>
  <si>
    <t>Isle of Anglesy</t>
  </si>
  <si>
    <t>Waverley</t>
  </si>
  <si>
    <t>Barnsley</t>
  </si>
  <si>
    <t>East Lindsley</t>
  </si>
  <si>
    <t>West Lindsey</t>
  </si>
  <si>
    <t>Cannock Chase</t>
  </si>
  <si>
    <t>Nottingham</t>
  </si>
  <si>
    <t>Cotswolds</t>
  </si>
  <si>
    <t>Buckinghamshire</t>
  </si>
  <si>
    <t>Neath Port Talbot</t>
  </si>
  <si>
    <t>Warwick</t>
  </si>
  <si>
    <t>Rochdale</t>
  </si>
  <si>
    <t>Manchester</t>
  </si>
  <si>
    <t>Bristol</t>
  </si>
  <si>
    <t>Sources: EVCDT Sheet 1a and veh 0142</t>
  </si>
  <si>
    <t xml:space="preserve">Recommended </t>
  </si>
  <si>
    <t>Data from  GOV.UK (2023d) EVCD Table 1a, 1b, 2a and 2b</t>
  </si>
  <si>
    <t>EV Charging Devices</t>
  </si>
  <si>
    <t>EVs/EV Chargers</t>
  </si>
  <si>
    <t>Local Authority</t>
  </si>
  <si>
    <t xml:space="preserve">EVs </t>
  </si>
  <si>
    <t>EV/EV Chargers 2023 (Q3)</t>
  </si>
  <si>
    <t>West Lindsey EV Chargers</t>
  </si>
  <si>
    <t>Total Chargers</t>
  </si>
  <si>
    <t>Rapid or above</t>
  </si>
  <si>
    <t>% Rapid</t>
  </si>
  <si>
    <t>Years (Q4)</t>
  </si>
  <si>
    <t>City of Bristol EV 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</si>
</sst>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General"/>
    <numFmt numFmtId="165" formatCode="0.0"/>
    <numFmt numFmtId="166" formatCode="#,##0.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Helv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dashed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Border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17" fontId="3" fillId="2" borderId="1" xfId="1" applyNumberFormat="1" applyFont="1" applyFill="1" applyBorder="1" applyAlignment="1">
      <alignment horizontal="right" wrapText="1"/>
    </xf>
    <xf numFmtId="0" fontId="4" fillId="2" borderId="2" xfId="2" applyFill="1" applyBorder="1" applyAlignment="1">
      <alignment horizontal="right" indent="1"/>
    </xf>
    <xf numFmtId="0" fontId="4" fillId="2" borderId="2" xfId="3" applyFill="1" applyBorder="1" applyAlignment="1">
      <alignment horizontal="right" indent="1"/>
    </xf>
    <xf numFmtId="3" fontId="4" fillId="2" borderId="2" xfId="2" applyNumberFormat="1" applyFill="1" applyBorder="1" applyAlignment="1">
      <alignment horizontal="right" indent="1"/>
    </xf>
    <xf numFmtId="3" fontId="4" fillId="2" borderId="2" xfId="2" applyNumberFormat="1" applyFill="1" applyBorder="1" applyAlignment="1">
      <alignment horizontal="right" wrapText="1" indent="1"/>
    </xf>
    <xf numFmtId="0" fontId="4" fillId="2" borderId="3" xfId="2" applyFill="1" applyBorder="1" applyAlignment="1">
      <alignment horizontal="right" indent="1"/>
    </xf>
    <xf numFmtId="165" fontId="4" fillId="2" borderId="2" xfId="2" applyNumberFormat="1" applyFill="1" applyBorder="1" applyAlignment="1">
      <alignment horizontal="right" indent="1"/>
    </xf>
    <xf numFmtId="166" fontId="4" fillId="2" borderId="2" xfId="3" applyNumberFormat="1" applyFill="1" applyBorder="1" applyAlignment="1">
      <alignment horizontal="right" indent="1"/>
    </xf>
    <xf numFmtId="166" fontId="4" fillId="2" borderId="2" xfId="2" applyNumberFormat="1" applyFill="1" applyBorder="1" applyAlignment="1">
      <alignment horizontal="right" indent="1"/>
    </xf>
    <xf numFmtId="165" fontId="4" fillId="2" borderId="2" xfId="2" applyNumberFormat="1" applyFill="1" applyBorder="1" applyAlignment="1">
      <alignment horizontal="right" wrapText="1" indent="1"/>
    </xf>
    <xf numFmtId="166" fontId="4" fillId="2" borderId="2" xfId="2" applyNumberFormat="1" applyFill="1" applyBorder="1" applyAlignment="1">
      <alignment horizontal="right" wrapText="1" indent="1"/>
    </xf>
    <xf numFmtId="165" fontId="4" fillId="2" borderId="3" xfId="2" applyNumberFormat="1" applyFill="1" applyBorder="1" applyAlignment="1">
      <alignment horizontal="right" wrapText="1" indent="1"/>
    </xf>
    <xf numFmtId="3" fontId="4" fillId="2" borderId="4" xfId="2" applyNumberFormat="1" applyFill="1" applyBorder="1" applyAlignment="1">
      <alignment horizontal="right" wrapText="1" indent="1"/>
    </xf>
    <xf numFmtId="0" fontId="4" fillId="2" borderId="4" xfId="2" applyFill="1" applyBorder="1" applyAlignment="1">
      <alignment horizontal="right" indent="1"/>
    </xf>
    <xf numFmtId="0" fontId="4" fillId="2" borderId="5" xfId="2" applyFill="1" applyBorder="1" applyAlignment="1">
      <alignment horizontal="right" indent="1"/>
    </xf>
    <xf numFmtId="3" fontId="0" fillId="0" borderId="0" xfId="0" applyNumberFormat="1"/>
    <xf numFmtId="165" fontId="4" fillId="2" borderId="4" xfId="2" applyNumberFormat="1" applyFill="1" applyBorder="1" applyAlignment="1">
      <alignment horizontal="right" indent="1"/>
    </xf>
    <xf numFmtId="166" fontId="4" fillId="2" borderId="4" xfId="3" applyNumberFormat="1" applyFill="1" applyBorder="1" applyAlignment="1">
      <alignment horizontal="right" indent="1"/>
    </xf>
    <xf numFmtId="165" fontId="4" fillId="2" borderId="5" xfId="2" applyNumberFormat="1" applyFill="1" applyBorder="1" applyAlignment="1">
      <alignment horizontal="right" indent="1"/>
    </xf>
    <xf numFmtId="2" fontId="0" fillId="0" borderId="0" xfId="0" applyNumberFormat="1"/>
    <xf numFmtId="3" fontId="0" fillId="0" borderId="0" xfId="0" applyNumberFormat="1" applyBorder="1"/>
    <xf numFmtId="10" fontId="0" fillId="0" borderId="0" xfId="0" applyNumberFormat="1"/>
    <xf numFmtId="9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0" xfId="0" applyFont="1" applyBorder="1"/>
    <xf numFmtId="0" fontId="0" fillId="0" borderId="11" xfId="0" applyBorder="1"/>
    <xf numFmtId="3" fontId="0" fillId="0" borderId="12" xfId="0" applyNumberFormat="1" applyBorder="1"/>
    <xf numFmtId="0" fontId="0" fillId="0" borderId="12" xfId="0" applyBorder="1"/>
    <xf numFmtId="0" fontId="0" fillId="0" borderId="13" xfId="0" applyBorder="1"/>
    <xf numFmtId="3" fontId="0" fillId="0" borderId="10" xfId="0" applyNumberFormat="1" applyBorder="1"/>
    <xf numFmtId="3" fontId="0" fillId="0" borderId="13" xfId="0" applyNumberFormat="1" applyBorder="1"/>
    <xf numFmtId="0" fontId="0" fillId="0" borderId="0" xfId="0" applyFill="1" applyBorder="1"/>
    <xf numFmtId="0" fontId="0" fillId="0" borderId="0" xfId="0" applyNumberFormat="1" applyBorder="1"/>
    <xf numFmtId="0" fontId="0" fillId="0" borderId="0" xfId="0" applyBorder="1" applyAlignment="1"/>
    <xf numFmtId="0" fontId="7" fillId="0" borderId="0" xfId="0" applyFont="1"/>
    <xf numFmtId="1" fontId="0" fillId="0" borderId="0" xfId="0" applyNumberFormat="1"/>
    <xf numFmtId="3" fontId="0" fillId="3" borderId="0" xfId="0" applyNumberFormat="1" applyFill="1" applyBorder="1"/>
    <xf numFmtId="4" fontId="0" fillId="0" borderId="0" xfId="0" applyNumberFormat="1"/>
    <xf numFmtId="47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0" borderId="14" xfId="0" applyBorder="1" applyAlignment="1">
      <alignment wrapText="1"/>
    </xf>
    <xf numFmtId="1" fontId="0" fillId="0" borderId="14" xfId="0" applyNumberFormat="1" applyBorder="1" applyAlignment="1">
      <alignment wrapText="1"/>
    </xf>
    <xf numFmtId="0" fontId="0" fillId="3" borderId="14" xfId="0" applyFill="1" applyBorder="1" applyAlignment="1">
      <alignment wrapText="1"/>
    </xf>
    <xf numFmtId="1" fontId="0" fillId="3" borderId="14" xfId="0" applyNumberForma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4" fillId="2" borderId="15" xfId="2" applyFill="1" applyBorder="1" applyAlignment="1">
      <alignment horizontal="right" indent="1"/>
    </xf>
    <xf numFmtId="0" fontId="0" fillId="0" borderId="14" xfId="0" applyBorder="1"/>
    <xf numFmtId="2" fontId="0" fillId="0" borderId="14" xfId="0" applyNumberFormat="1" applyBorder="1"/>
    <xf numFmtId="3" fontId="0" fillId="0" borderId="14" xfId="0" applyNumberFormat="1" applyBorder="1"/>
    <xf numFmtId="2" fontId="0" fillId="0" borderId="7" xfId="0" applyNumberFormat="1" applyBorder="1"/>
    <xf numFmtId="3" fontId="0" fillId="0" borderId="8" xfId="0" applyNumberFormat="1" applyBorder="1"/>
    <xf numFmtId="2" fontId="0" fillId="0" borderId="0" xfId="0" applyNumberFormat="1" applyBorder="1"/>
    <xf numFmtId="3" fontId="0" fillId="3" borderId="12" xfId="0" applyNumberFormat="1" applyFill="1" applyBorder="1"/>
    <xf numFmtId="2" fontId="0" fillId="0" borderId="12" xfId="0" applyNumberFormat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14" xfId="0" applyNumberFormat="1" applyBorder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2" fontId="0" fillId="0" borderId="14" xfId="0" applyNumberFormat="1" applyBorder="1" applyAlignment="1">
      <alignment wrapText="1"/>
    </xf>
    <xf numFmtId="1" fontId="0" fillId="0" borderId="14" xfId="0" applyNumberFormat="1" applyBorder="1"/>
    <xf numFmtId="0" fontId="0" fillId="3" borderId="14" xfId="0" applyFill="1" applyBorder="1"/>
    <xf numFmtId="3" fontId="0" fillId="0" borderId="7" xfId="0" applyNumberFormat="1" applyBorder="1"/>
    <xf numFmtId="1" fontId="0" fillId="0" borderId="10" xfId="0" applyNumberFormat="1" applyBorder="1"/>
    <xf numFmtId="0" fontId="0" fillId="0" borderId="9" xfId="0" applyFill="1" applyBorder="1"/>
    <xf numFmtId="3" fontId="0" fillId="0" borderId="0" xfId="0" applyNumberFormat="1" applyFill="1" applyBorder="1"/>
    <xf numFmtId="3" fontId="0" fillId="0" borderId="12" xfId="0" applyNumberFormat="1" applyFill="1" applyBorder="1"/>
    <xf numFmtId="0" fontId="0" fillId="0" borderId="12" xfId="0" applyNumberFormat="1" applyBorder="1"/>
    <xf numFmtId="1" fontId="0" fillId="0" borderId="13" xfId="0" applyNumberFormat="1" applyBorder="1"/>
    <xf numFmtId="167" fontId="0" fillId="0" borderId="0" xfId="0" applyNumberFormat="1" applyBorder="1"/>
    <xf numFmtId="165" fontId="0" fillId="0" borderId="0" xfId="0" applyNumberFormat="1" applyBorder="1"/>
  </cellXfs>
  <cellStyles count="4">
    <cellStyle name="Normal" xfId="0" builtinId="0"/>
    <cellStyle name="Normal 3 2" xfId="2" xr:uid="{37B4A662-76AE-4D4C-88A5-4DB1714B2795}"/>
    <cellStyle name="Normal 3 2 2" xfId="3" xr:uid="{AF4EE577-00C0-4DD6-81B4-26F7D873289B}"/>
    <cellStyle name="Normal_T3" xfId="1" xr:uid="{1A98BCDF-CB9F-443E-BA6F-319F6D0F21C2}"/>
  </cellStyles>
  <dxfs count="0"/>
  <tableStyles count="0" defaultTableStyle="TableStyleMedium2" defaultPivotStyle="PivotStyleLight16"/>
  <colors>
    <mruColors>
      <color rgb="FFB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Newly</a:t>
            </a:r>
            <a:r>
              <a:rPr lang="en-GB" baseline="0"/>
              <a:t> Registred Small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7171296296296296"/>
          <c:w val="0.86395494313210841"/>
          <c:h val="0.68729986876640425"/>
        </c:manualLayout>
      </c:layout>
      <c:barChart>
        <c:barDir val="col"/>
        <c:grouping val="stacked"/>
        <c:varyColors val="0"/>
        <c:ser>
          <c:idx val="0"/>
          <c:order val="0"/>
          <c:tx>
            <c:v>New EV registrations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'West Lindsey charging demand'!$B$23:$B$55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'West Lindsey charging demand'!$F$23:$F$55</c:f>
              <c:numCache>
                <c:formatCode>#,##0</c:formatCode>
                <c:ptCount val="33"/>
                <c:pt idx="0">
                  <c:v>57</c:v>
                </c:pt>
                <c:pt idx="1">
                  <c:v>69</c:v>
                </c:pt>
                <c:pt idx="2">
                  <c:v>209.47081772059826</c:v>
                </c:pt>
                <c:pt idx="3">
                  <c:v>245.66629519725592</c:v>
                </c:pt>
                <c:pt idx="4">
                  <c:v>296.30823131185321</c:v>
                </c:pt>
                <c:pt idx="5">
                  <c:v>482.13520091196784</c:v>
                </c:pt>
                <c:pt idx="6">
                  <c:v>718.07153903564824</c:v>
                </c:pt>
                <c:pt idx="7">
                  <c:v>1041.4253141751717</c:v>
                </c:pt>
                <c:pt idx="8">
                  <c:v>1405.2487793779699</c:v>
                </c:pt>
                <c:pt idx="9">
                  <c:v>1887.1435223884905</c:v>
                </c:pt>
                <c:pt idx="10">
                  <c:v>2660.3333310194403</c:v>
                </c:pt>
                <c:pt idx="11">
                  <c:v>3579.5157735588018</c:v>
                </c:pt>
                <c:pt idx="12">
                  <c:v>4423.7318617362862</c:v>
                </c:pt>
                <c:pt idx="13">
                  <c:v>5402.6383929602234</c:v>
                </c:pt>
                <c:pt idx="14">
                  <c:v>5458.72</c:v>
                </c:pt>
                <c:pt idx="15">
                  <c:v>4909.3600000000006</c:v>
                </c:pt>
                <c:pt idx="16">
                  <c:v>4622.6900000000005</c:v>
                </c:pt>
                <c:pt idx="17">
                  <c:v>3080.34</c:v>
                </c:pt>
                <c:pt idx="18">
                  <c:v>3061.8100000000004</c:v>
                </c:pt>
                <c:pt idx="19">
                  <c:v>2862.34</c:v>
                </c:pt>
                <c:pt idx="20">
                  <c:v>3408.7788000000005</c:v>
                </c:pt>
                <c:pt idx="21">
                  <c:v>3799.6637000000005</c:v>
                </c:pt>
                <c:pt idx="22">
                  <c:v>4222.627300000001</c:v>
                </c:pt>
                <c:pt idx="23">
                  <c:v>4492.3260000000009</c:v>
                </c:pt>
                <c:pt idx="24">
                  <c:v>4855.8846000000012</c:v>
                </c:pt>
                <c:pt idx="25">
                  <c:v>5592.5066000000015</c:v>
                </c:pt>
                <c:pt idx="26">
                  <c:v>6270.9117000000006</c:v>
                </c:pt>
                <c:pt idx="27">
                  <c:v>6583.3820000000005</c:v>
                </c:pt>
                <c:pt idx="28">
                  <c:v>6916.05</c:v>
                </c:pt>
                <c:pt idx="29">
                  <c:v>6331.5048000000006</c:v>
                </c:pt>
                <c:pt idx="30">
                  <c:v>5732.702400000001</c:v>
                </c:pt>
                <c:pt idx="31">
                  <c:v>5420.2321000000011</c:v>
                </c:pt>
                <c:pt idx="32">
                  <c:v>3739.0706000000005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8-4E41-8A57-95F1FC30B70A}"/>
            </c:ext>
          </c:extLst>
        </c:ser>
        <c:ser>
          <c:idx val="1"/>
          <c:order val="1"/>
          <c:tx>
            <c:v>New Non EV Regestrations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'West Lindsey charging demand'!$B$23:$B$55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'West Lindsey charging demand'!$G$23:$G$55</c:f>
              <c:numCache>
                <c:formatCode>General</c:formatCode>
                <c:ptCount val="33"/>
                <c:pt idx="0">
                  <c:v>4097</c:v>
                </c:pt>
                <c:pt idx="1">
                  <c:v>3822</c:v>
                </c:pt>
                <c:pt idx="2" formatCode="#,##0">
                  <c:v>2266.5291822794015</c:v>
                </c:pt>
                <c:pt idx="3" formatCode="#,##0">
                  <c:v>2213.3337048027443</c:v>
                </c:pt>
                <c:pt idx="4" formatCode="#,##0">
                  <c:v>1979.6917686881468</c:v>
                </c:pt>
                <c:pt idx="5" formatCode="#,##0">
                  <c:v>2295.1847990880324</c:v>
                </c:pt>
                <c:pt idx="6" formatCode="#,##0">
                  <c:v>2417.8584609643522</c:v>
                </c:pt>
                <c:pt idx="7" formatCode="#,##0">
                  <c:v>2482.5446858248288</c:v>
                </c:pt>
                <c:pt idx="8" formatCode="#,##0">
                  <c:v>2366.1512206220305</c:v>
                </c:pt>
                <c:pt idx="9" formatCode="#,##0">
                  <c:v>2217.79647761151</c:v>
                </c:pt>
                <c:pt idx="10" formatCode="#,##0">
                  <c:v>2120.4066689805604</c:v>
                </c:pt>
                <c:pt idx="11" formatCode="#,##0">
                  <c:v>1823.6142264411983</c:v>
                </c:pt>
                <c:pt idx="12" formatCode="#,##0">
                  <c:v>1266.068138263714</c:v>
                </c:pt>
                <c:pt idx="13" formatCode="#,##0">
                  <c:v>592.36160703977657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8-4E41-8A57-95F1FC30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711487"/>
        <c:axId val="1974708991"/>
      </c:barChart>
      <c:catAx>
        <c:axId val="19747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0899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747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10542432195977"/>
          <c:y val="0.18965959512329364"/>
          <c:w val="0.31567235345581801"/>
          <c:h val="0.16684436026218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1:34.2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723653815914"/>
          <c:y val="0.15782407407407409"/>
          <c:w val="0.81352019968240408"/>
          <c:h val="0.688480242053076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'Bristol Charging Data'!$D$15:$D$45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'Bristol Charging Data'!$E$15:$E$45</c:f>
              <c:numCache>
                <c:formatCode>0</c:formatCode>
                <c:ptCount val="31"/>
                <c:pt idx="0" formatCode="General">
                  <c:v>1737</c:v>
                </c:pt>
                <c:pt idx="1">
                  <c:v>2457.9137511106828</c:v>
                </c:pt>
                <c:pt idx="2">
                  <c:v>3390.7340072351399</c:v>
                </c:pt>
                <c:pt idx="3">
                  <c:v>5378.6409885808962</c:v>
                </c:pt>
                <c:pt idx="4" formatCode="#,##0">
                  <c:v>8105.6374414502989</c:v>
                </c:pt>
                <c:pt idx="5" formatCode="#,##0">
                  <c:v>11709.119770258108</c:v>
                </c:pt>
                <c:pt idx="6" formatCode="#,##0">
                  <c:v>15866.032981596261</c:v>
                </c:pt>
                <c:pt idx="7" formatCode="#,##0">
                  <c:v>20917.922333404793</c:v>
                </c:pt>
                <c:pt idx="8" formatCode="#,##0">
                  <c:v>27208.372349470385</c:v>
                </c:pt>
                <c:pt idx="9" formatCode="#,##0">
                  <c:v>35040.068553527679</c:v>
                </c:pt>
                <c:pt idx="10" formatCode="#,##0">
                  <c:v>44604.550835484719</c:v>
                </c:pt>
                <c:pt idx="11" formatCode="#,##0">
                  <c:v>55781.953735629344</c:v>
                </c:pt>
                <c:pt idx="12" formatCode="#,##0">
                  <c:v>67506.157324580214</c:v>
                </c:pt>
                <c:pt idx="13" formatCode="#,##0">
                  <c:v>79409.863320409466</c:v>
                </c:pt>
                <c:pt idx="14" formatCode="#,##0">
                  <c:v>90823.230780708633</c:v>
                </c:pt>
                <c:pt idx="15" formatCode="#,##0">
                  <c:v>98423.986280708632</c:v>
                </c:pt>
                <c:pt idx="16" formatCode="#,##0">
                  <c:v>105789.14052959795</c:v>
                </c:pt>
                <c:pt idx="17" formatCode="#,##0">
                  <c:v>112701.3322734735</c:v>
                </c:pt>
                <c:pt idx="18" formatCode="#,##0">
                  <c:v>122580.11062012773</c:v>
                </c:pt>
                <c:pt idx="19" formatCode="#,##0">
                  <c:v>132576.71858325831</c:v>
                </c:pt>
                <c:pt idx="20" formatCode="#,##0">
                  <c:v>142506.52055845049</c:v>
                </c:pt>
                <c:pt idx="21" formatCode="#,##0">
                  <c:v>151371.76350711234</c:v>
                </c:pt>
                <c:pt idx="22" formatCode="#,##0">
                  <c:v>159673.53906730382</c:v>
                </c:pt>
                <c:pt idx="23" formatCode="#,##0">
                  <c:v>167588.28653923824</c:v>
                </c:pt>
                <c:pt idx="24" formatCode="#,##0">
                  <c:v>175044.12377518095</c:v>
                </c:pt>
                <c:pt idx="25" formatCode="#,##0">
                  <c:v>181822.7808532239</c:v>
                </c:pt>
                <c:pt idx="26" formatCode="#,##0">
                  <c:v>187576.95209707925</c:v>
                </c:pt>
                <c:pt idx="27" formatCode="#,##0">
                  <c:v>191873.61220412838</c:v>
                </c:pt>
                <c:pt idx="28" formatCode="#,##0">
                  <c:v>194800.55049629914</c:v>
                </c:pt>
                <c:pt idx="29" formatCode="#,##0">
                  <c:v>196496.54109999997</c:v>
                </c:pt>
                <c:pt idx="30" formatCode="#,##0">
                  <c:v>197726.06277999998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F-4A8A-8ED8-685C842D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97743"/>
        <c:axId val="29128318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'Bristol Charging Data'!$F$15:$F$45</c:f>
              <c:numCache>
                <c:formatCode>0</c:formatCode>
                <c:ptCount val="31"/>
                <c:pt idx="0">
                  <c:v>110</c:v>
                </c:pt>
                <c:pt idx="1">
                  <c:v>123</c:v>
                </c:pt>
                <c:pt idx="2">
                  <c:v>133</c:v>
                </c:pt>
                <c:pt idx="3">
                  <c:v>139</c:v>
                </c:pt>
                <c:pt idx="4">
                  <c:v>150.815</c:v>
                </c:pt>
                <c:pt idx="5">
                  <c:v>163.634275</c:v>
                </c:pt>
                <c:pt idx="6">
                  <c:v>177.543188375</c:v>
                </c:pt>
                <c:pt idx="7">
                  <c:v>192.63435938687499</c:v>
                </c:pt>
                <c:pt idx="8">
                  <c:v>209.00827993475937</c:v>
                </c:pt>
                <c:pt idx="9">
                  <c:v>226.77398372921391</c:v>
                </c:pt>
                <c:pt idx="10">
                  <c:v>246.04977234619707</c:v>
                </c:pt>
                <c:pt idx="11">
                  <c:v>266.96400299562384</c:v>
                </c:pt>
                <c:pt idx="12">
                  <c:v>289.65594325025188</c:v>
                </c:pt>
                <c:pt idx="13">
                  <c:v>314.2766984265233</c:v>
                </c:pt>
                <c:pt idx="14">
                  <c:v>340.99021779277774</c:v>
                </c:pt>
                <c:pt idx="15">
                  <c:v>369.97438630516382</c:v>
                </c:pt>
                <c:pt idx="16">
                  <c:v>401.42220914110271</c:v>
                </c:pt>
                <c:pt idx="17">
                  <c:v>435.54309691809641</c:v>
                </c:pt>
                <c:pt idx="18">
                  <c:v>472.56426015613459</c:v>
                </c:pt>
                <c:pt idx="19">
                  <c:v>512.73222226940607</c:v>
                </c:pt>
                <c:pt idx="20">
                  <c:v>556.31446116230552</c:v>
                </c:pt>
                <c:pt idx="21">
                  <c:v>603.60119036110143</c:v>
                </c:pt>
                <c:pt idx="22">
                  <c:v>654.90729154179508</c:v>
                </c:pt>
                <c:pt idx="23">
                  <c:v>710.5744113228476</c:v>
                </c:pt>
                <c:pt idx="24">
                  <c:v>770.97323628528966</c:v>
                </c:pt>
                <c:pt idx="25">
                  <c:v>836.50596136953925</c:v>
                </c:pt>
                <c:pt idx="26">
                  <c:v>907.6089680859501</c:v>
                </c:pt>
                <c:pt idx="27">
                  <c:v>984.7557303732558</c:v>
                </c:pt>
                <c:pt idx="28">
                  <c:v>1068.4599674549825</c:v>
                </c:pt>
                <c:pt idx="29">
                  <c:v>1159.279064688656</c:v>
                </c:pt>
                <c:pt idx="30">
                  <c:v>1257.8177851871917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A8A-8ED8-685C842D6E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'Bristol Charging Data'!$H$15:$H$45</c:f>
              <c:numCache>
                <c:formatCode>0</c:formatCode>
                <c:ptCount val="31"/>
                <c:pt idx="0">
                  <c:v>110</c:v>
                </c:pt>
                <c:pt idx="1">
                  <c:v>123</c:v>
                </c:pt>
                <c:pt idx="2">
                  <c:v>133</c:v>
                </c:pt>
                <c:pt idx="3">
                  <c:v>139</c:v>
                </c:pt>
                <c:pt idx="4">
                  <c:v>191.82</c:v>
                </c:pt>
                <c:pt idx="5">
                  <c:v>264.71159999999998</c:v>
                </c:pt>
                <c:pt idx="6">
                  <c:v>365.30200799999994</c:v>
                </c:pt>
                <c:pt idx="7">
                  <c:v>504.11677103999989</c:v>
                </c:pt>
                <c:pt idx="8">
                  <c:v>695.68114403519985</c:v>
                </c:pt>
                <c:pt idx="9">
                  <c:v>960.03997876857568</c:v>
                </c:pt>
                <c:pt idx="10">
                  <c:v>1324.8551707006343</c:v>
                </c:pt>
                <c:pt idx="11">
                  <c:v>1824.8551707006343</c:v>
                </c:pt>
                <c:pt idx="12">
                  <c:v>2324.8551707006345</c:v>
                </c:pt>
                <c:pt idx="13">
                  <c:v>2824.8551707006345</c:v>
                </c:pt>
                <c:pt idx="14">
                  <c:v>3324.8551707006345</c:v>
                </c:pt>
                <c:pt idx="15">
                  <c:v>3824.8551707006345</c:v>
                </c:pt>
                <c:pt idx="16">
                  <c:v>4324.8551707006345</c:v>
                </c:pt>
                <c:pt idx="17">
                  <c:v>4824.8551707006345</c:v>
                </c:pt>
                <c:pt idx="18">
                  <c:v>5324.8551707006345</c:v>
                </c:pt>
                <c:pt idx="19">
                  <c:v>5824.8551707006345</c:v>
                </c:pt>
                <c:pt idx="20">
                  <c:v>6324.8551707006345</c:v>
                </c:pt>
                <c:pt idx="21">
                  <c:v>6824.8551707006345</c:v>
                </c:pt>
                <c:pt idx="22">
                  <c:v>7324.8551707006345</c:v>
                </c:pt>
                <c:pt idx="23">
                  <c:v>7824.8551707006345</c:v>
                </c:pt>
                <c:pt idx="24">
                  <c:v>8324.8551707006336</c:v>
                </c:pt>
                <c:pt idx="25">
                  <c:v>8824.8551707006336</c:v>
                </c:pt>
                <c:pt idx="26">
                  <c:v>9174.8551707006336</c:v>
                </c:pt>
                <c:pt idx="27">
                  <c:v>9419.8551707006336</c:v>
                </c:pt>
                <c:pt idx="28">
                  <c:v>9591.3551707006336</c:v>
                </c:pt>
                <c:pt idx="29">
                  <c:v>9711.4051707006329</c:v>
                </c:pt>
                <c:pt idx="30">
                  <c:v>9795.4401707006327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F-4A8A-8ED8-685C842D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95247"/>
        <c:axId val="291291503"/>
      </c:lineChart>
      <c:catAx>
        <c:axId val="2912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83183"/>
        <c:crosses val="autoZero"/>
        <c:auto val="1"/>
        <c:lblAlgn val="ctr"/>
        <c:lblOffset val="100"/>
        <c:noMultiLvlLbl val="0"/>
      </c:catAx>
      <c:valAx>
        <c:axId val="291283183"/>
        <c:scaling>
          <c:orientation val="minMax"/>
          <c:max val="2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97743"/>
        <c:crosses val="autoZero"/>
        <c:crossBetween val="between"/>
      </c:valAx>
      <c:valAx>
        <c:axId val="291291503"/>
        <c:scaling>
          <c:orientation val="minMax"/>
          <c:max val="7017.5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95247"/>
        <c:crosses val="max"/>
        <c:crossBetween val="between"/>
      </c:valAx>
      <c:catAx>
        <c:axId val="291295247"/>
        <c:scaling>
          <c:orientation val="minMax"/>
        </c:scaling>
        <c:delete val="1"/>
        <c:axPos val="b"/>
        <c:majorTickMark val="out"/>
        <c:minorTickMark val="none"/>
        <c:tickLblPos val="nextTo"/>
        <c:crossAx val="291291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5504421760421E-2"/>
          <c:y val="0.20717483231262759"/>
          <c:w val="0.35567342979334116"/>
          <c:h val="0.2835659084281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1:42.4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723653815914"/>
          <c:y val="0.15782407407407409"/>
          <c:w val="0.81352019968240408"/>
          <c:h val="0.688480242053076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'Bristol Charging Data'!$D$15:$D$45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'Bristol Charging Data'!$E$15:$E$45</c:f>
              <c:numCache>
                <c:formatCode>0</c:formatCode>
                <c:ptCount val="31"/>
                <c:pt idx="0" formatCode="General">
                  <c:v>1737</c:v>
                </c:pt>
                <c:pt idx="1">
                  <c:v>2457.9137511106828</c:v>
                </c:pt>
                <c:pt idx="2">
                  <c:v>3390.7340072351399</c:v>
                </c:pt>
                <c:pt idx="3">
                  <c:v>5378.6409885808962</c:v>
                </c:pt>
                <c:pt idx="4" formatCode="#,##0">
                  <c:v>8105.6374414502989</c:v>
                </c:pt>
                <c:pt idx="5" formatCode="#,##0">
                  <c:v>11709.119770258108</c:v>
                </c:pt>
                <c:pt idx="6" formatCode="#,##0">
                  <c:v>15866.032981596261</c:v>
                </c:pt>
                <c:pt idx="7" formatCode="#,##0">
                  <c:v>20917.922333404793</c:v>
                </c:pt>
                <c:pt idx="8" formatCode="#,##0">
                  <c:v>27208.372349470385</c:v>
                </c:pt>
                <c:pt idx="9" formatCode="#,##0">
                  <c:v>35040.068553527679</c:v>
                </c:pt>
                <c:pt idx="10" formatCode="#,##0">
                  <c:v>44604.550835484719</c:v>
                </c:pt>
                <c:pt idx="11" formatCode="#,##0">
                  <c:v>55781.953735629344</c:v>
                </c:pt>
                <c:pt idx="12" formatCode="#,##0">
                  <c:v>67506.157324580214</c:v>
                </c:pt>
                <c:pt idx="13" formatCode="#,##0">
                  <c:v>79409.863320409466</c:v>
                </c:pt>
                <c:pt idx="14" formatCode="#,##0">
                  <c:v>90823.230780708633</c:v>
                </c:pt>
                <c:pt idx="15" formatCode="#,##0">
                  <c:v>98423.986280708632</c:v>
                </c:pt>
                <c:pt idx="16" formatCode="#,##0">
                  <c:v>105789.14052959795</c:v>
                </c:pt>
                <c:pt idx="17" formatCode="#,##0">
                  <c:v>112701.3322734735</c:v>
                </c:pt>
                <c:pt idx="18" formatCode="#,##0">
                  <c:v>122580.11062012773</c:v>
                </c:pt>
                <c:pt idx="19" formatCode="#,##0">
                  <c:v>132576.71858325831</c:v>
                </c:pt>
                <c:pt idx="20" formatCode="#,##0">
                  <c:v>142506.52055845049</c:v>
                </c:pt>
                <c:pt idx="21" formatCode="#,##0">
                  <c:v>151371.76350711234</c:v>
                </c:pt>
                <c:pt idx="22" formatCode="#,##0">
                  <c:v>159673.53906730382</c:v>
                </c:pt>
                <c:pt idx="23" formatCode="#,##0">
                  <c:v>167588.28653923824</c:v>
                </c:pt>
                <c:pt idx="24" formatCode="#,##0">
                  <c:v>175044.12377518095</c:v>
                </c:pt>
                <c:pt idx="25" formatCode="#,##0">
                  <c:v>181822.7808532239</c:v>
                </c:pt>
                <c:pt idx="26" formatCode="#,##0">
                  <c:v>187576.95209707925</c:v>
                </c:pt>
                <c:pt idx="27" formatCode="#,##0">
                  <c:v>191873.61220412838</c:v>
                </c:pt>
                <c:pt idx="28" formatCode="#,##0">
                  <c:v>194800.55049629914</c:v>
                </c:pt>
                <c:pt idx="29" formatCode="#,##0">
                  <c:v>196496.54109999997</c:v>
                </c:pt>
                <c:pt idx="30" formatCode="#,##0">
                  <c:v>197726.06277999998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7-44B9-8B2B-C1302DBB6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97743"/>
        <c:axId val="29128318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'Bristol Charging Data'!$F$15:$F$45</c:f>
              <c:numCache>
                <c:formatCode>0</c:formatCode>
                <c:ptCount val="31"/>
                <c:pt idx="0">
                  <c:v>110</c:v>
                </c:pt>
                <c:pt idx="1">
                  <c:v>123</c:v>
                </c:pt>
                <c:pt idx="2">
                  <c:v>133</c:v>
                </c:pt>
                <c:pt idx="3">
                  <c:v>139</c:v>
                </c:pt>
                <c:pt idx="4">
                  <c:v>150.815</c:v>
                </c:pt>
                <c:pt idx="5">
                  <c:v>163.634275</c:v>
                </c:pt>
                <c:pt idx="6">
                  <c:v>177.543188375</c:v>
                </c:pt>
                <c:pt idx="7">
                  <c:v>192.63435938687499</c:v>
                </c:pt>
                <c:pt idx="8">
                  <c:v>209.00827993475937</c:v>
                </c:pt>
                <c:pt idx="9">
                  <c:v>226.77398372921391</c:v>
                </c:pt>
                <c:pt idx="10">
                  <c:v>246.04977234619707</c:v>
                </c:pt>
                <c:pt idx="11">
                  <c:v>266.96400299562384</c:v>
                </c:pt>
                <c:pt idx="12">
                  <c:v>289.65594325025188</c:v>
                </c:pt>
                <c:pt idx="13">
                  <c:v>314.2766984265233</c:v>
                </c:pt>
                <c:pt idx="14">
                  <c:v>340.99021779277774</c:v>
                </c:pt>
                <c:pt idx="15">
                  <c:v>369.97438630516382</c:v>
                </c:pt>
                <c:pt idx="16">
                  <c:v>401.42220914110271</c:v>
                </c:pt>
                <c:pt idx="17">
                  <c:v>435.54309691809641</c:v>
                </c:pt>
                <c:pt idx="18">
                  <c:v>472.56426015613459</c:v>
                </c:pt>
                <c:pt idx="19">
                  <c:v>512.73222226940607</c:v>
                </c:pt>
                <c:pt idx="20">
                  <c:v>556.31446116230552</c:v>
                </c:pt>
                <c:pt idx="21">
                  <c:v>603.60119036110143</c:v>
                </c:pt>
                <c:pt idx="22">
                  <c:v>654.90729154179508</c:v>
                </c:pt>
                <c:pt idx="23">
                  <c:v>710.5744113228476</c:v>
                </c:pt>
                <c:pt idx="24">
                  <c:v>770.97323628528966</c:v>
                </c:pt>
                <c:pt idx="25">
                  <c:v>836.50596136953925</c:v>
                </c:pt>
                <c:pt idx="26">
                  <c:v>907.6089680859501</c:v>
                </c:pt>
                <c:pt idx="27">
                  <c:v>984.7557303732558</c:v>
                </c:pt>
                <c:pt idx="28">
                  <c:v>1068.4599674549825</c:v>
                </c:pt>
                <c:pt idx="29">
                  <c:v>1159.279064688656</c:v>
                </c:pt>
                <c:pt idx="30">
                  <c:v>1257.8177851871917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7-44B9-8B2B-C1302DBB6A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'Bristol Charging Data'!$H$15:$H$45</c:f>
              <c:numCache>
                <c:formatCode>0</c:formatCode>
                <c:ptCount val="31"/>
                <c:pt idx="0">
                  <c:v>110</c:v>
                </c:pt>
                <c:pt idx="1">
                  <c:v>123</c:v>
                </c:pt>
                <c:pt idx="2">
                  <c:v>133</c:v>
                </c:pt>
                <c:pt idx="3">
                  <c:v>139</c:v>
                </c:pt>
                <c:pt idx="4">
                  <c:v>191.82</c:v>
                </c:pt>
                <c:pt idx="5">
                  <c:v>264.71159999999998</c:v>
                </c:pt>
                <c:pt idx="6">
                  <c:v>365.30200799999994</c:v>
                </c:pt>
                <c:pt idx="7">
                  <c:v>504.11677103999989</c:v>
                </c:pt>
                <c:pt idx="8">
                  <c:v>695.68114403519985</c:v>
                </c:pt>
                <c:pt idx="9">
                  <c:v>960.03997876857568</c:v>
                </c:pt>
                <c:pt idx="10">
                  <c:v>1324.8551707006343</c:v>
                </c:pt>
                <c:pt idx="11">
                  <c:v>1824.8551707006343</c:v>
                </c:pt>
                <c:pt idx="12">
                  <c:v>2324.8551707006345</c:v>
                </c:pt>
                <c:pt idx="13">
                  <c:v>2824.8551707006345</c:v>
                </c:pt>
                <c:pt idx="14">
                  <c:v>3324.8551707006345</c:v>
                </c:pt>
                <c:pt idx="15">
                  <c:v>3824.8551707006345</c:v>
                </c:pt>
                <c:pt idx="16">
                  <c:v>4324.8551707006345</c:v>
                </c:pt>
                <c:pt idx="17">
                  <c:v>4824.8551707006345</c:v>
                </c:pt>
                <c:pt idx="18">
                  <c:v>5324.8551707006345</c:v>
                </c:pt>
                <c:pt idx="19">
                  <c:v>5824.8551707006345</c:v>
                </c:pt>
                <c:pt idx="20">
                  <c:v>6324.8551707006345</c:v>
                </c:pt>
                <c:pt idx="21">
                  <c:v>6824.8551707006345</c:v>
                </c:pt>
                <c:pt idx="22">
                  <c:v>7324.8551707006345</c:v>
                </c:pt>
                <c:pt idx="23">
                  <c:v>7824.8551707006345</c:v>
                </c:pt>
                <c:pt idx="24">
                  <c:v>8324.8551707006336</c:v>
                </c:pt>
                <c:pt idx="25">
                  <c:v>8824.8551707006336</c:v>
                </c:pt>
                <c:pt idx="26">
                  <c:v>9174.8551707006336</c:v>
                </c:pt>
                <c:pt idx="27">
                  <c:v>9419.8551707006336</c:v>
                </c:pt>
                <c:pt idx="28">
                  <c:v>9591.3551707006336</c:v>
                </c:pt>
                <c:pt idx="29">
                  <c:v>9711.4051707006329</c:v>
                </c:pt>
                <c:pt idx="30">
                  <c:v>9795.4401707006327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7-44B9-8B2B-C1302DBB6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95247"/>
        <c:axId val="291291503"/>
      </c:lineChart>
      <c:catAx>
        <c:axId val="2912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83183"/>
        <c:crosses val="autoZero"/>
        <c:auto val="1"/>
        <c:lblAlgn val="ctr"/>
        <c:lblOffset val="100"/>
        <c:noMultiLvlLbl val="0"/>
      </c:catAx>
      <c:valAx>
        <c:axId val="291283183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97743"/>
        <c:crosses val="autoZero"/>
        <c:crossBetween val="between"/>
      </c:valAx>
      <c:valAx>
        <c:axId val="291291503"/>
        <c:scaling>
          <c:orientation val="minMax"/>
          <c:max val="7075.4716999999991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95247"/>
        <c:crosses val="max"/>
        <c:crossBetween val="between"/>
      </c:valAx>
      <c:catAx>
        <c:axId val="291295247"/>
        <c:scaling>
          <c:orientation val="minMax"/>
        </c:scaling>
        <c:delete val="1"/>
        <c:axPos val="b"/>
        <c:majorTickMark val="out"/>
        <c:minorTickMark val="none"/>
        <c:tickLblPos val="nextTo"/>
        <c:crossAx val="291291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5504421760421E-2"/>
          <c:y val="0.20717483231262759"/>
          <c:w val="0.35567342979334116"/>
          <c:h val="0.2835659084281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29745061009756"/>
          <c:y val="6.6803078201682173E-2"/>
          <c:w val="0.78170254938990247"/>
          <c:h val="0.45533173476848487"/>
        </c:manualLayout>
      </c:layout>
      <c:lineChart>
        <c:grouping val="standard"/>
        <c:varyColors val="0"/>
        <c:ser>
          <c:idx val="0"/>
          <c:order val="0"/>
          <c:tx>
            <c:strRef>
              <c:f>'Bristol EV Charger Forecast'!$K$14</c:f>
              <c:strCache>
                <c:ptCount val="1"/>
                <c:pt idx="0">
                  <c:v>New Registerstration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'Bristol EV Charger Forecast'!$J$15:$J$19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'Bristol EV Charger Forecast'!$K$15:$K$19</c:f>
              <c:numCache>
                <c:formatCode>General</c:formatCode>
                <c:ptCount val="5"/>
                <c:pt idx="0">
                  <c:v>12832</c:v>
                </c:pt>
                <c:pt idx="1">
                  <c:v>11171</c:v>
                </c:pt>
                <c:pt idx="2">
                  <c:v>6895</c:v>
                </c:pt>
                <c:pt idx="3">
                  <c:v>6819</c:v>
                </c:pt>
                <c:pt idx="4">
                  <c:v>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4-4D2A-8B10-31A4E9086608}"/>
            </c:ext>
          </c:extLst>
        </c:ser>
        <c:ser>
          <c:idx val="1"/>
          <c:order val="1"/>
          <c:tx>
            <c:strRef>
              <c:f>'Bristol EV Charger Forecast'!$L$14</c:f>
              <c:strCache>
                <c:ptCount val="1"/>
                <c:pt idx="0">
                  <c:v>Vehicles Lost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'Bristol EV Charger Forecast'!$J$15:$J$19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'Bristol EV Charger Forecast'!$L$15:$L$19</c:f>
              <c:numCache>
                <c:formatCode>#,##0</c:formatCode>
                <c:ptCount val="5"/>
                <c:pt idx="0">
                  <c:v>11631.999999999971</c:v>
                </c:pt>
                <c:pt idx="1">
                  <c:v>9571.0000000000291</c:v>
                </c:pt>
                <c:pt idx="2">
                  <c:v>7195.0000000000291</c:v>
                </c:pt>
                <c:pt idx="3">
                  <c:v>6018.9999999999709</c:v>
                </c:pt>
                <c:pt idx="4">
                  <c:v>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4-4D2A-8B10-31A4E9086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79791"/>
        <c:axId val="2132777711"/>
      </c:lineChart>
      <c:catAx>
        <c:axId val="21327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77711"/>
        <c:crosses val="autoZero"/>
        <c:auto val="1"/>
        <c:lblAlgn val="ctr"/>
        <c:lblOffset val="100"/>
        <c:noMultiLvlLbl val="0"/>
      </c:catAx>
      <c:valAx>
        <c:axId val="21327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7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Small EV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9925917402287"/>
          <c:y val="0.17171296296296296"/>
          <c:w val="0.87230110849922471"/>
          <c:h val="0.68729986876640425"/>
        </c:manualLayout>
      </c:layout>
      <c:barChart>
        <c:barDir val="col"/>
        <c:grouping val="stacked"/>
        <c:varyColors val="0"/>
        <c:ser>
          <c:idx val="1"/>
          <c:order val="0"/>
          <c:tx>
            <c:v>EVs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'Bristol EV Charger Forecast'!$B$25:$B$55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'Bristol EV Charger Forecast'!$L$25:$L$55</c:f>
              <c:numCache>
                <c:formatCode>#,##0</c:formatCode>
                <c:ptCount val="31"/>
                <c:pt idx="0" formatCode="General">
                  <c:v>1737</c:v>
                </c:pt>
                <c:pt idx="1">
                  <c:v>2457.9137511106828</c:v>
                </c:pt>
                <c:pt idx="2">
                  <c:v>3390.7340072351399</c:v>
                </c:pt>
                <c:pt idx="3">
                  <c:v>5378.6409885808962</c:v>
                </c:pt>
                <c:pt idx="4">
                  <c:v>8105.6374414502989</c:v>
                </c:pt>
                <c:pt idx="5">
                  <c:v>11709.119770258108</c:v>
                </c:pt>
                <c:pt idx="6">
                  <c:v>15866.032981596261</c:v>
                </c:pt>
                <c:pt idx="7">
                  <c:v>20917.922333404793</c:v>
                </c:pt>
                <c:pt idx="8">
                  <c:v>27208.372349470385</c:v>
                </c:pt>
                <c:pt idx="9">
                  <c:v>35040.068553527679</c:v>
                </c:pt>
                <c:pt idx="10">
                  <c:v>44604.550835484719</c:v>
                </c:pt>
                <c:pt idx="11">
                  <c:v>55781.953735629344</c:v>
                </c:pt>
                <c:pt idx="12">
                  <c:v>67506.157324580214</c:v>
                </c:pt>
                <c:pt idx="13">
                  <c:v>79409.863320409466</c:v>
                </c:pt>
                <c:pt idx="14">
                  <c:v>90823.230780708633</c:v>
                </c:pt>
                <c:pt idx="15">
                  <c:v>98423.986280708632</c:v>
                </c:pt>
                <c:pt idx="16">
                  <c:v>105789.14052959795</c:v>
                </c:pt>
                <c:pt idx="17">
                  <c:v>112701.3322734735</c:v>
                </c:pt>
                <c:pt idx="18">
                  <c:v>122580.11062012773</c:v>
                </c:pt>
                <c:pt idx="19">
                  <c:v>132576.71858325831</c:v>
                </c:pt>
                <c:pt idx="20">
                  <c:v>142506.52055845049</c:v>
                </c:pt>
                <c:pt idx="21">
                  <c:v>151371.76350711234</c:v>
                </c:pt>
                <c:pt idx="22">
                  <c:v>159673.53906730382</c:v>
                </c:pt>
                <c:pt idx="23">
                  <c:v>167588.28653923824</c:v>
                </c:pt>
                <c:pt idx="24">
                  <c:v>175044.12377518095</c:v>
                </c:pt>
                <c:pt idx="25">
                  <c:v>181822.7808532239</c:v>
                </c:pt>
                <c:pt idx="26">
                  <c:v>187576.95209707925</c:v>
                </c:pt>
                <c:pt idx="27">
                  <c:v>191873.61220412838</c:v>
                </c:pt>
                <c:pt idx="28">
                  <c:v>194800.55049629914</c:v>
                </c:pt>
                <c:pt idx="29">
                  <c:v>196496.54109999997</c:v>
                </c:pt>
                <c:pt idx="30">
                  <c:v>197726.06277999998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5E9-9F81-38B9DF489283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'Bristol EV Charger Forecast'!$B$25:$B$55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'Bristol EV Charger Forecast'!$N$25:$N$55</c:f>
              <c:numCache>
                <c:formatCode>#,##0</c:formatCode>
                <c:ptCount val="31"/>
                <c:pt idx="0">
                  <c:v>209162.99999999997</c:v>
                </c:pt>
                <c:pt idx="1">
                  <c:v>209242.0862488893</c:v>
                </c:pt>
                <c:pt idx="2">
                  <c:v>207509.26599276485</c:v>
                </c:pt>
                <c:pt idx="3">
                  <c:v>205212.88301141912</c:v>
                </c:pt>
                <c:pt idx="4">
                  <c:v>202152.01455854971</c:v>
                </c:pt>
                <c:pt idx="5">
                  <c:v>198190.6642297419</c:v>
                </c:pt>
                <c:pt idx="6">
                  <c:v>193691.03101840377</c:v>
                </c:pt>
                <c:pt idx="7">
                  <c:v>188286.53766659522</c:v>
                </c:pt>
                <c:pt idx="8">
                  <c:v>181617.89165052964</c:v>
                </c:pt>
                <c:pt idx="9">
                  <c:v>173375.71544647234</c:v>
                </c:pt>
                <c:pt idx="10">
                  <c:v>163369.11316451529</c:v>
                </c:pt>
                <c:pt idx="11">
                  <c:v>151732.06226437067</c:v>
                </c:pt>
                <c:pt idx="12">
                  <c:v>139574.72667541978</c:v>
                </c:pt>
                <c:pt idx="13">
                  <c:v>127269.72467959052</c:v>
                </c:pt>
                <c:pt idx="14">
                  <c:v>115501.56921929136</c:v>
                </c:pt>
                <c:pt idx="15">
                  <c:v>107665.75371929136</c:v>
                </c:pt>
                <c:pt idx="16">
                  <c:v>100067.66747040204</c:v>
                </c:pt>
                <c:pt idx="17">
                  <c:v>92929.48772652648</c:v>
                </c:pt>
                <c:pt idx="18">
                  <c:v>82708.870707872236</c:v>
                </c:pt>
                <c:pt idx="19">
                  <c:v>72345.73916074165</c:v>
                </c:pt>
                <c:pt idx="20">
                  <c:v>62026.089489549457</c:v>
                </c:pt>
                <c:pt idx="21">
                  <c:v>52785.722700887622</c:v>
                </c:pt>
                <c:pt idx="22">
                  <c:v>44099.216052696167</c:v>
                </c:pt>
                <c:pt idx="23">
                  <c:v>35774.862068761751</c:v>
                </c:pt>
                <c:pt idx="24">
                  <c:v>27878.038272819045</c:v>
                </c:pt>
                <c:pt idx="25">
                  <c:v>20627.640554776095</c:v>
                </c:pt>
                <c:pt idx="26">
                  <c:v>14384.691454920743</c:v>
                </c:pt>
                <c:pt idx="27">
                  <c:v>9625.0270438716107</c:v>
                </c:pt>
                <c:pt idx="28">
                  <c:v>6266.0290397008648</c:v>
                </c:pt>
                <c:pt idx="29">
                  <c:v>4183.1845000000321</c:v>
                </c:pt>
                <c:pt idx="30">
                  <c:v>2683.1845000000321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E-45E9-9F81-38B9DF48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768127"/>
        <c:axId val="2075779775"/>
      </c:barChart>
      <c:catAx>
        <c:axId val="2075768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9775"/>
        <c:crosses val="autoZero"/>
        <c:auto val="1"/>
        <c:lblAlgn val="ctr"/>
        <c:lblOffset val="100"/>
        <c:tickLblSkip val="5"/>
        <c:noMultiLvlLbl val="0"/>
      </c:catAx>
      <c:valAx>
        <c:axId val="20757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22077076930022"/>
          <c:y val="5.634186351706038E-2"/>
          <c:w val="0.128407480314960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Newly</a:t>
            </a:r>
            <a:r>
              <a:rPr lang="en-GB" baseline="0"/>
              <a:t> Registred Small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7171296296296296"/>
          <c:w val="0.86395494313210841"/>
          <c:h val="0.68729986876640425"/>
        </c:manualLayout>
      </c:layout>
      <c:barChart>
        <c:barDir val="col"/>
        <c:grouping val="stacked"/>
        <c:varyColors val="0"/>
        <c:ser>
          <c:idx val="0"/>
          <c:order val="0"/>
          <c:tx>
            <c:v>New EV registrations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'Bristol EV Charger Forecast'!$B$23:$B$55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'Bristol EV Charger Forecast'!$F$23:$F$55</c:f>
              <c:numCache>
                <c:formatCode>#,##0</c:formatCode>
                <c:ptCount val="33"/>
                <c:pt idx="0">
                  <c:v>309</c:v>
                </c:pt>
                <c:pt idx="1">
                  <c:v>320</c:v>
                </c:pt>
                <c:pt idx="2">
                  <c:v>559.18449999999996</c:v>
                </c:pt>
                <c:pt idx="3">
                  <c:v>720.91375111068305</c:v>
                </c:pt>
                <c:pt idx="4">
                  <c:v>932.82025612445716</c:v>
                </c:pt>
                <c:pt idx="5">
                  <c:v>1987.9069813457565</c:v>
                </c:pt>
                <c:pt idx="6">
                  <c:v>2726.9964528694022</c:v>
                </c:pt>
                <c:pt idx="7">
                  <c:v>3603.4823288078105</c:v>
                </c:pt>
                <c:pt idx="8">
                  <c:v>4156.9132113381538</c:v>
                </c:pt>
                <c:pt idx="9">
                  <c:v>5053.8893518085306</c:v>
                </c:pt>
                <c:pt idx="10">
                  <c:v>6304.4500160655925</c:v>
                </c:pt>
                <c:pt idx="11">
                  <c:v>7852.6962040572926</c:v>
                </c:pt>
                <c:pt idx="12">
                  <c:v>9597.4822819570418</c:v>
                </c:pt>
                <c:pt idx="13">
                  <c:v>11213.402900144623</c:v>
                </c:pt>
                <c:pt idx="14">
                  <c:v>11776.203588950872</c:v>
                </c:pt>
                <c:pt idx="15">
                  <c:v>12071.705995829256</c:v>
                </c:pt>
                <c:pt idx="16">
                  <c:v>11733.367460299167</c:v>
                </c:pt>
                <c:pt idx="17">
                  <c:v>8159.94</c:v>
                </c:pt>
                <c:pt idx="18">
                  <c:v>8086.0680000000002</c:v>
                </c:pt>
                <c:pt idx="19">
                  <c:v>7845.0119999999997</c:v>
                </c:pt>
                <c:pt idx="20">
                  <c:v>11866.685328</c:v>
                </c:pt>
                <c:pt idx="21">
                  <c:v>12723.604416</c:v>
                </c:pt>
                <c:pt idx="22">
                  <c:v>13533.284304000001</c:v>
                </c:pt>
                <c:pt idx="23">
                  <c:v>13022.156159999999</c:v>
                </c:pt>
                <c:pt idx="24">
                  <c:v>13355.664912</c:v>
                </c:pt>
                <c:pt idx="25">
                  <c:v>14219.197488</c:v>
                </c:pt>
                <c:pt idx="26">
                  <c:v>15308.533439999999</c:v>
                </c:pt>
                <c:pt idx="27">
                  <c:v>16376.139359999997</c:v>
                </c:pt>
                <c:pt idx="28">
                  <c:v>16967.574143999998</c:v>
                </c:pt>
                <c:pt idx="29">
                  <c:v>16072.863696000002</c:v>
                </c:pt>
                <c:pt idx="30">
                  <c:v>14998.644288</c:v>
                </c:pt>
                <c:pt idx="31">
                  <c:v>13429.358064</c:v>
                </c:pt>
                <c:pt idx="32">
                  <c:v>9389.4616799999985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B-4F5B-B91D-D410B0250A5D}"/>
            </c:ext>
          </c:extLst>
        </c:ser>
        <c:ser>
          <c:idx val="1"/>
          <c:order val="1"/>
          <c:tx>
            <c:v>New Non EV Regestrations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'Bristol EV Charger Forecast'!$B$23:$B$55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'Bristol EV Charger Forecast'!$G$23:$G$55</c:f>
              <c:numCache>
                <c:formatCode>General</c:formatCode>
                <c:ptCount val="33"/>
                <c:pt idx="0">
                  <c:v>12523</c:v>
                </c:pt>
                <c:pt idx="1">
                  <c:v>10851</c:v>
                </c:pt>
                <c:pt idx="2" formatCode="#,##0">
                  <c:v>6335.8154999999997</c:v>
                </c:pt>
                <c:pt idx="3" formatCode="#,##0">
                  <c:v>6098.0862488893172</c:v>
                </c:pt>
                <c:pt idx="4" formatCode="#,##0">
                  <c:v>5638.179743875543</c:v>
                </c:pt>
                <c:pt idx="5" formatCode="#,##0">
                  <c:v>8720.6170186542422</c:v>
                </c:pt>
                <c:pt idx="6" formatCode="#,##0">
                  <c:v>8863.1315471305988</c:v>
                </c:pt>
                <c:pt idx="7" formatCode="#,##0">
                  <c:v>8819.64967119219</c:v>
                </c:pt>
                <c:pt idx="8" formatCode="#,##0">
                  <c:v>7740.366788661845</c:v>
                </c:pt>
                <c:pt idx="9" formatCode="#,##0">
                  <c:v>7186.5066481914682</c:v>
                </c:pt>
                <c:pt idx="10" formatCode="#,##0">
                  <c:v>6824.3539839344076</c:v>
                </c:pt>
                <c:pt idx="11" formatCode="#,##0">
                  <c:v>6396.8237959427079</c:v>
                </c:pt>
                <c:pt idx="12" formatCode="#,##0">
                  <c:v>5750.3977180429574</c:v>
                </c:pt>
                <c:pt idx="13" formatCode="#,##0">
                  <c:v>4742.9490998553756</c:v>
                </c:pt>
                <c:pt idx="14" formatCode="#,##0">
                  <c:v>3259.6644110491288</c:v>
                </c:pt>
                <c:pt idx="15" formatCode="#,##0">
                  <c:v>1858.998004170744</c:v>
                </c:pt>
                <c:pt idx="16" formatCode="#,##0">
                  <c:v>582.84453970083268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B-4F5B-B91D-D410B025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711487"/>
        <c:axId val="1974708991"/>
      </c:barChart>
      <c:catAx>
        <c:axId val="19747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0899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747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10542432195977"/>
          <c:y val="0.18965959512329364"/>
          <c:w val="0.31567235345581801"/>
          <c:h val="0.16684436026218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403412</xdr:colOff>
      <xdr:row>19</xdr:row>
      <xdr:rowOff>56029</xdr:rowOff>
    </xdr:from>
    <xdr:ext cx="7186364" cy="5269841"/>
    <xdr:pic>
      <xdr:nvPicPr>
        <xdr:cNvPr id="2" name="Picture 1">
          <a:extLst>
            <a:ext uri="{FF2B5EF4-FFF2-40B4-BE49-F238E27FC236}">
              <a16:creationId xmlns:a16="http://schemas.microsoft.com/office/drawing/2014/main" id="{5EBED20C-5AB6-45FC-A3CC-DE74275C5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2" y="3675529"/>
          <a:ext cx="7186364" cy="526984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427385</xdr:colOff>
      <xdr:row>21</xdr:row>
      <xdr:rowOff>1</xdr:rowOff>
    </xdr:from>
    <xdr:to>
      <xdr:col>20</xdr:col>
      <xdr:colOff>288841</xdr:colOff>
      <xdr:row>34</xdr:row>
      <xdr:rowOff>92530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81596A-EE65-42C3-84A8-FD650416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29507</xdr:colOff>
      <xdr:row>10</xdr:row>
      <xdr:rowOff>131734</xdr:rowOff>
    </xdr:from>
    <xdr:to>
      <xdr:col>18</xdr:col>
      <xdr:colOff>309872</xdr:colOff>
      <xdr:row>25</xdr:row>
      <xdr:rowOff>17434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2B6EC-5527-462A-ADCB-D9D05B02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53993</xdr:colOff>
      <xdr:row>26</xdr:row>
      <xdr:rowOff>115115</xdr:rowOff>
    </xdr:from>
    <xdr:to>
      <xdr:col>18</xdr:col>
      <xdr:colOff>333338</xdr:colOff>
      <xdr:row>41</xdr:row>
      <xdr:rowOff>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B6DE1-C3E3-4B30-B2E4-5820936AC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367393</xdr:colOff>
      <xdr:row>13</xdr:row>
      <xdr:rowOff>111580</xdr:rowOff>
    </xdr:from>
    <xdr:to>
      <xdr:col>15</xdr:col>
      <xdr:colOff>789213</xdr:colOff>
      <xdr:row>20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54C84-2F1E-44CE-92D5-78FBF8943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513739</xdr:colOff>
      <xdr:row>35</xdr:row>
      <xdr:rowOff>187809</xdr:rowOff>
    </xdr:from>
    <xdr:to>
      <xdr:col>20</xdr:col>
      <xdr:colOff>369007</xdr:colOff>
      <xdr:row>50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594FB7-CCFE-4404-8029-868B6CB27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306159</xdr:colOff>
      <xdr:row>22</xdr:row>
      <xdr:rowOff>9895</xdr:rowOff>
    </xdr:from>
    <xdr:to>
      <xdr:col>20</xdr:col>
      <xdr:colOff>167613</xdr:colOff>
      <xdr:row>35</xdr:row>
      <xdr:rowOff>102424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019718-76FF-453F-BA57-1BF938FB5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1074966</xdr:colOff>
      <xdr:row>14</xdr:row>
      <xdr:rowOff>190499</xdr:rowOff>
    </xdr:from>
    <xdr:to>
      <xdr:col>18</xdr:col>
      <xdr:colOff>74223</xdr:colOff>
      <xdr:row>20</xdr:row>
      <xdr:rowOff>81643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00BDAC-D0D4-4F11-8295-A902FA7F9F3B}"/>
            </a:ext>
          </a:extLst>
        </xdr:cNvPr>
        <xdr:cNvSpPr txBox="1"/>
      </xdr:nvSpPr>
      <xdr:spPr>
        <a:xfrm>
          <a:off x="18254602" y="2961408"/>
          <a:ext cx="1908712" cy="106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Clear correlation indicating that</a:t>
          </a:r>
          <a:r>
            <a:rPr lang="en-GB" sz="1100" baseline="0"/>
            <a:t> amount of new car registration is a function of expired cars within City of Bristol</a:t>
          </a:r>
          <a:endParaRPr lang="en-GB" sz="1100"/>
        </a:p>
      </xdr:txBody>
    </xdr:sp>
    <xdr:clientData/>
  </xdr:twoCellAnchor>
  <xdr:twoCellAnchor>
    <xdr:from>
      <xdr:col>14</xdr:col>
      <xdr:colOff>612321</xdr:colOff>
      <xdr:row>16</xdr:row>
      <xdr:rowOff>27214</xdr:rowOff>
    </xdr:from>
    <xdr:to>
      <xdr:col>15</xdr:col>
      <xdr:colOff>312965</xdr:colOff>
      <xdr:row>16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A8323D-C297-4469-A4A3-E8C24E80C235}"/>
            </a:ext>
          </a:extLst>
        </xdr:cNvPr>
        <xdr:cNvCxnSpPr/>
      </xdr:nvCxnSpPr>
      <xdr:spPr>
        <a:xfrm>
          <a:off x="9146721" y="3075214"/>
          <a:ext cx="310244" cy="680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987135</xdr:colOff>
      <xdr:row>56</xdr:row>
      <xdr:rowOff>155863</xdr:rowOff>
    </xdr:from>
    <xdr:ext cx="4404329" cy="2523809"/>
    <xdr:pic>
      <xdr:nvPicPr>
        <xdr:cNvPr id="8" name="Picture 7">
          <a:extLst>
            <a:ext uri="{FF2B5EF4-FFF2-40B4-BE49-F238E27FC236}">
              <a16:creationId xmlns:a16="http://schemas.microsoft.com/office/drawing/2014/main" id="{31ABEA7C-D86F-473C-BBE0-5B2E1A68F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27090" y="10962408"/>
          <a:ext cx="4404329" cy="2523809"/>
        </a:xfrm>
        <a:prstGeom prst="rect">
          <a:avLst/>
        </a:prstGeom>
      </xdr:spPr>
    </xdr:pic>
    <xdr:clientData/>
  </xdr:oneCellAnchor>
  <xdr:twoCellAnchor>
    <xdr:from>
      <xdr:col>17</xdr:col>
      <xdr:colOff>467590</xdr:colOff>
      <xdr:row>50</xdr:row>
      <xdr:rowOff>17319</xdr:rowOff>
    </xdr:from>
    <xdr:to>
      <xdr:col>17</xdr:col>
      <xdr:colOff>502227</xdr:colOff>
      <xdr:row>56</xdr:row>
      <xdr:rowOff>155864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66B1791-342B-44C6-B15C-3E40F0DB9A7B}"/>
            </a:ext>
          </a:extLst>
        </xdr:cNvPr>
        <xdr:cNvCxnSpPr/>
      </xdr:nvCxnSpPr>
      <xdr:spPr>
        <a:xfrm flipV="1">
          <a:off x="19950545" y="9680864"/>
          <a:ext cx="34637" cy="12815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1921836/Year%205/Thesis%20and%20Research%20Method%20Notes/Data/City%20of%20Bristo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ging Data "/>
      <sheetName val="Sheet1"/>
    </sheetNames>
    <sheetDataSet>
      <sheetData sheetId="0">
        <row r="15">
          <cell r="D15">
            <v>2020</v>
          </cell>
          <cell r="E15">
            <v>1737</v>
          </cell>
          <cell r="F15">
            <v>110</v>
          </cell>
          <cell r="H15">
            <v>110</v>
          </cell>
        </row>
        <row r="16">
          <cell r="D16">
            <v>2021</v>
          </cell>
          <cell r="E16">
            <v>2457.9137511106828</v>
          </cell>
          <cell r="F16">
            <v>123</v>
          </cell>
          <cell r="H16">
            <v>123</v>
          </cell>
        </row>
        <row r="17">
          <cell r="D17">
            <v>2022</v>
          </cell>
          <cell r="E17">
            <v>3390.7340072351399</v>
          </cell>
          <cell r="F17">
            <v>133</v>
          </cell>
          <cell r="H17">
            <v>133</v>
          </cell>
        </row>
        <row r="18">
          <cell r="D18">
            <v>2023</v>
          </cell>
          <cell r="E18">
            <v>5378.6409885808962</v>
          </cell>
          <cell r="F18">
            <v>139</v>
          </cell>
          <cell r="H18">
            <v>139</v>
          </cell>
        </row>
        <row r="19">
          <cell r="D19">
            <v>2024</v>
          </cell>
          <cell r="E19">
            <v>8105.6374414502989</v>
          </cell>
          <cell r="F19">
            <v>150.815</v>
          </cell>
          <cell r="H19">
            <v>191.82</v>
          </cell>
        </row>
        <row r="20">
          <cell r="D20">
            <v>2025</v>
          </cell>
          <cell r="E20">
            <v>11709.119770258108</v>
          </cell>
          <cell r="F20">
            <v>163.634275</v>
          </cell>
          <cell r="H20">
            <v>264.71159999999998</v>
          </cell>
        </row>
        <row r="21">
          <cell r="D21">
            <v>2026</v>
          </cell>
          <cell r="E21">
            <v>15866.032981596261</v>
          </cell>
          <cell r="F21">
            <v>177.543188375</v>
          </cell>
          <cell r="H21">
            <v>365.30200799999994</v>
          </cell>
        </row>
        <row r="22">
          <cell r="D22">
            <v>2027</v>
          </cell>
          <cell r="E22">
            <v>20917.922333404793</v>
          </cell>
          <cell r="F22">
            <v>192.63435938687499</v>
          </cell>
          <cell r="H22">
            <v>504.11677103999989</v>
          </cell>
        </row>
        <row r="23">
          <cell r="D23">
            <v>2028</v>
          </cell>
          <cell r="E23">
            <v>27208.372349470385</v>
          </cell>
          <cell r="F23">
            <v>209.00827993475937</v>
          </cell>
          <cell r="H23">
            <v>695.68114403519985</v>
          </cell>
        </row>
        <row r="24">
          <cell r="D24">
            <v>2029</v>
          </cell>
          <cell r="E24">
            <v>35040.068553527679</v>
          </cell>
          <cell r="F24">
            <v>226.77398372921391</v>
          </cell>
          <cell r="H24">
            <v>960.03997876857568</v>
          </cell>
        </row>
        <row r="25">
          <cell r="D25">
            <v>2030</v>
          </cell>
          <cell r="E25">
            <v>44604.550835484719</v>
          </cell>
          <cell r="F25">
            <v>246.04977234619707</v>
          </cell>
          <cell r="H25">
            <v>1324.8551707006343</v>
          </cell>
        </row>
        <row r="26">
          <cell r="D26">
            <v>2031</v>
          </cell>
          <cell r="E26">
            <v>55781.953735629344</v>
          </cell>
          <cell r="F26">
            <v>266.96400299562384</v>
          </cell>
          <cell r="H26">
            <v>1824.8551707006343</v>
          </cell>
        </row>
        <row r="27">
          <cell r="D27">
            <v>2032</v>
          </cell>
          <cell r="E27">
            <v>67506.157324580214</v>
          </cell>
          <cell r="F27">
            <v>289.65594325025188</v>
          </cell>
          <cell r="H27">
            <v>2324.8551707006345</v>
          </cell>
        </row>
        <row r="28">
          <cell r="D28">
            <v>2033</v>
          </cell>
          <cell r="E28">
            <v>79409.863320409466</v>
          </cell>
          <cell r="F28">
            <v>314.2766984265233</v>
          </cell>
          <cell r="H28">
            <v>2824.8551707006345</v>
          </cell>
        </row>
        <row r="29">
          <cell r="D29">
            <v>2034</v>
          </cell>
          <cell r="E29">
            <v>90823.230780708633</v>
          </cell>
          <cell r="F29">
            <v>340.99021779277774</v>
          </cell>
          <cell r="H29">
            <v>3324.8551707006345</v>
          </cell>
        </row>
        <row r="30">
          <cell r="D30">
            <v>2035</v>
          </cell>
          <cell r="E30">
            <v>98423.986280708632</v>
          </cell>
          <cell r="F30">
            <v>369.97438630516382</v>
          </cell>
          <cell r="H30">
            <v>3824.8551707006345</v>
          </cell>
        </row>
        <row r="31">
          <cell r="D31">
            <v>2036</v>
          </cell>
          <cell r="E31">
            <v>105789.14052959795</v>
          </cell>
          <cell r="F31">
            <v>401.42220914110271</v>
          </cell>
          <cell r="H31">
            <v>4324.8551707006345</v>
          </cell>
        </row>
        <row r="32">
          <cell r="D32">
            <v>2037</v>
          </cell>
          <cell r="E32">
            <v>112701.3322734735</v>
          </cell>
          <cell r="F32">
            <v>435.54309691809641</v>
          </cell>
          <cell r="H32">
            <v>4824.8551707006345</v>
          </cell>
        </row>
        <row r="33">
          <cell r="D33">
            <v>2038</v>
          </cell>
          <cell r="E33">
            <v>122580.11062012773</v>
          </cell>
          <cell r="F33">
            <v>472.56426015613459</v>
          </cell>
          <cell r="H33">
            <v>5324.8551707006345</v>
          </cell>
        </row>
        <row r="34">
          <cell r="D34">
            <v>2039</v>
          </cell>
          <cell r="E34">
            <v>132576.71858325831</v>
          </cell>
          <cell r="F34">
            <v>512.73222226940607</v>
          </cell>
          <cell r="H34">
            <v>5824.8551707006345</v>
          </cell>
        </row>
        <row r="35">
          <cell r="D35">
            <v>2040</v>
          </cell>
          <cell r="E35">
            <v>142506.52055845049</v>
          </cell>
          <cell r="F35">
            <v>556.31446116230552</v>
          </cell>
          <cell r="H35">
            <v>6324.8551707006345</v>
          </cell>
        </row>
        <row r="36">
          <cell r="D36">
            <v>2041</v>
          </cell>
          <cell r="E36">
            <v>151371.76350711234</v>
          </cell>
          <cell r="F36">
            <v>603.60119036110143</v>
          </cell>
          <cell r="H36">
            <v>6824.8551707006345</v>
          </cell>
        </row>
        <row r="37">
          <cell r="D37">
            <v>2042</v>
          </cell>
          <cell r="E37">
            <v>159673.53906730382</v>
          </cell>
          <cell r="F37">
            <v>654.90729154179508</v>
          </cell>
          <cell r="H37">
            <v>7324.8551707006345</v>
          </cell>
        </row>
        <row r="38">
          <cell r="D38">
            <v>2043</v>
          </cell>
          <cell r="E38">
            <v>167588.28653923824</v>
          </cell>
          <cell r="F38">
            <v>710.5744113228476</v>
          </cell>
          <cell r="H38">
            <v>7824.8551707006345</v>
          </cell>
        </row>
        <row r="39">
          <cell r="D39">
            <v>2044</v>
          </cell>
          <cell r="E39">
            <v>175044.12377518095</v>
          </cell>
          <cell r="F39">
            <v>770.97323628528966</v>
          </cell>
          <cell r="H39">
            <v>8324.8551707006336</v>
          </cell>
        </row>
        <row r="40">
          <cell r="D40">
            <v>2045</v>
          </cell>
          <cell r="E40">
            <v>181822.7808532239</v>
          </cell>
          <cell r="F40">
            <v>836.50596136953925</v>
          </cell>
          <cell r="H40">
            <v>8824.8551707006336</v>
          </cell>
        </row>
        <row r="41">
          <cell r="D41">
            <v>2046</v>
          </cell>
          <cell r="E41">
            <v>187576.95209707925</v>
          </cell>
          <cell r="F41">
            <v>907.6089680859501</v>
          </cell>
          <cell r="H41">
            <v>9174.8551707006336</v>
          </cell>
        </row>
        <row r="42">
          <cell r="D42">
            <v>2047</v>
          </cell>
          <cell r="E42">
            <v>191873.61220412838</v>
          </cell>
          <cell r="F42">
            <v>984.7557303732558</v>
          </cell>
          <cell r="H42">
            <v>9419.8551707006336</v>
          </cell>
        </row>
        <row r="43">
          <cell r="D43">
            <v>2048</v>
          </cell>
          <cell r="E43">
            <v>194800.55049629914</v>
          </cell>
          <cell r="F43">
            <v>1068.4599674549825</v>
          </cell>
          <cell r="H43">
            <v>9591.3551707006336</v>
          </cell>
        </row>
        <row r="44">
          <cell r="D44">
            <v>2049</v>
          </cell>
          <cell r="E44">
            <v>196496.54109999997</v>
          </cell>
          <cell r="F44">
            <v>1159.279064688656</v>
          </cell>
          <cell r="H44">
            <v>9711.4051707006329</v>
          </cell>
        </row>
        <row r="45">
          <cell r="D45">
            <v>2050</v>
          </cell>
          <cell r="E45">
            <v>197726.06277999998</v>
          </cell>
          <cell r="F45">
            <v>1257.8177851871917</v>
          </cell>
          <cell r="H45">
            <v>9795.4401707006327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1E1-B3EC-4A91-BAA6-57331D7BE6A5}">
  <dimension ref="C1:F17"/>
  <sheetViews>
    <sheetView zoomScale="85" zoomScaleNormal="85" workbookViewId="0">
      <selection activeCell="O36" sqref="O36"/>
    </sheetView>
  </sheetViews>
  <sheetFormatPr defaultRowHeight="15" x14ac:dyDescent="0.25"/>
  <cols>
    <col min="3" max="3" width="17.140625" customWidth="1"/>
    <col min="4" max="4" width="11.85546875" customWidth="1"/>
    <col min="5" max="5" width="20.28515625" customWidth="1"/>
    <col min="6" max="6" width="16.42578125" customWidth="1"/>
    <col min="12" max="12" width="14.5703125" customWidth="1"/>
    <col min="13" max="13" width="15.42578125" customWidth="1"/>
  </cols>
  <sheetData>
    <row r="1" spans="3:6" x14ac:dyDescent="0.25">
      <c r="C1" t="s">
        <v>106</v>
      </c>
    </row>
    <row r="2" spans="3:6" x14ac:dyDescent="0.25">
      <c r="D2" s="69" t="s">
        <v>113</v>
      </c>
      <c r="E2" s="70"/>
      <c r="F2" s="71"/>
    </row>
    <row r="3" spans="3:6" x14ac:dyDescent="0.25">
      <c r="C3" s="60" t="s">
        <v>111</v>
      </c>
      <c r="D3" s="60" t="s">
        <v>112</v>
      </c>
      <c r="E3" s="60" t="s">
        <v>109</v>
      </c>
      <c r="F3" s="60" t="s">
        <v>110</v>
      </c>
    </row>
    <row r="4" spans="3:6" x14ac:dyDescent="0.25">
      <c r="C4" s="60" t="s">
        <v>105</v>
      </c>
      <c r="D4" s="60">
        <v>4712</v>
      </c>
      <c r="E4" s="60">
        <v>149</v>
      </c>
      <c r="F4" s="61">
        <f>D4/E4</f>
        <v>31.624161073825505</v>
      </c>
    </row>
    <row r="5" spans="3:6" x14ac:dyDescent="0.25">
      <c r="C5" s="60" t="s">
        <v>104</v>
      </c>
      <c r="D5" s="60">
        <v>3454</v>
      </c>
      <c r="E5" s="60">
        <v>188</v>
      </c>
      <c r="F5" s="61">
        <f>D5/E5</f>
        <v>18.372340425531913</v>
      </c>
    </row>
    <row r="6" spans="3:6" x14ac:dyDescent="0.25">
      <c r="C6" s="60" t="s">
        <v>103</v>
      </c>
      <c r="D6" s="60">
        <v>1861</v>
      </c>
      <c r="E6" s="60">
        <v>44</v>
      </c>
      <c r="F6" s="61">
        <f>D6/E6</f>
        <v>42.295454545454547</v>
      </c>
    </row>
    <row r="7" spans="3:6" x14ac:dyDescent="0.25">
      <c r="C7" s="60" t="s">
        <v>102</v>
      </c>
      <c r="D7" s="60">
        <v>2562</v>
      </c>
      <c r="E7" s="60">
        <v>104</v>
      </c>
      <c r="F7" s="61">
        <f>D7/E7</f>
        <v>24.634615384615383</v>
      </c>
    </row>
    <row r="8" spans="3:6" x14ac:dyDescent="0.25">
      <c r="C8" s="60" t="s">
        <v>101</v>
      </c>
      <c r="D8" s="60">
        <v>952</v>
      </c>
      <c r="E8" s="60">
        <v>22</v>
      </c>
      <c r="F8" s="61">
        <f>D8/E8</f>
        <v>43.272727272727273</v>
      </c>
    </row>
    <row r="9" spans="3:6" x14ac:dyDescent="0.25">
      <c r="C9" s="60" t="s">
        <v>100</v>
      </c>
      <c r="D9" s="60">
        <v>12661</v>
      </c>
      <c r="E9" s="60">
        <v>267</v>
      </c>
      <c r="F9" s="61">
        <f>D9/E9</f>
        <v>47.419475655430709</v>
      </c>
    </row>
    <row r="10" spans="3:6" x14ac:dyDescent="0.25">
      <c r="C10" s="60" t="s">
        <v>99</v>
      </c>
      <c r="D10" s="60">
        <v>1942</v>
      </c>
      <c r="E10" s="60">
        <v>100</v>
      </c>
      <c r="F10" s="61">
        <f>D10/E10</f>
        <v>19.420000000000002</v>
      </c>
    </row>
    <row r="11" spans="3:6" x14ac:dyDescent="0.25">
      <c r="C11" s="60" t="s">
        <v>98</v>
      </c>
      <c r="D11" s="60">
        <v>2358</v>
      </c>
      <c r="E11" s="60">
        <v>230</v>
      </c>
      <c r="F11" s="61">
        <f>D11/E11</f>
        <v>10.252173913043478</v>
      </c>
    </row>
    <row r="12" spans="3:6" x14ac:dyDescent="0.25">
      <c r="C12" s="60" t="s">
        <v>97</v>
      </c>
      <c r="D12" s="60">
        <v>1062</v>
      </c>
      <c r="E12" s="60">
        <v>43</v>
      </c>
      <c r="F12" s="61">
        <f>D12/E12</f>
        <v>24.697674418604652</v>
      </c>
    </row>
    <row r="13" spans="3:6" x14ac:dyDescent="0.25">
      <c r="C13" s="60" t="s">
        <v>96</v>
      </c>
      <c r="D13" s="60">
        <v>1255</v>
      </c>
      <c r="E13" s="60">
        <v>24</v>
      </c>
      <c r="F13" s="61">
        <f>D13/E13</f>
        <v>52.291666666666664</v>
      </c>
    </row>
    <row r="14" spans="3:6" x14ac:dyDescent="0.25">
      <c r="C14" s="60" t="s">
        <v>95</v>
      </c>
      <c r="D14" s="60">
        <v>1320</v>
      </c>
      <c r="E14" s="60">
        <v>64</v>
      </c>
      <c r="F14" s="61">
        <f>D14/E14</f>
        <v>20.625</v>
      </c>
    </row>
    <row r="15" spans="3:6" x14ac:dyDescent="0.25">
      <c r="C15" s="60" t="s">
        <v>94</v>
      </c>
      <c r="D15" s="60">
        <v>2284</v>
      </c>
      <c r="E15" s="60">
        <v>89</v>
      </c>
      <c r="F15" s="61">
        <f>D15/E15</f>
        <v>25.662921348314608</v>
      </c>
    </row>
    <row r="16" spans="3:6" x14ac:dyDescent="0.25">
      <c r="C16" s="60" t="s">
        <v>93</v>
      </c>
      <c r="D16" s="60">
        <v>3179</v>
      </c>
      <c r="E16" s="60">
        <v>74</v>
      </c>
      <c r="F16" s="61">
        <f>D16/E16</f>
        <v>42.95945945945946</v>
      </c>
    </row>
    <row r="17" spans="3:6" x14ac:dyDescent="0.25">
      <c r="C17" s="60" t="s">
        <v>92</v>
      </c>
      <c r="D17" s="60">
        <v>630</v>
      </c>
      <c r="E17" s="60">
        <v>73</v>
      </c>
      <c r="F17" s="61">
        <f>D17/E17</f>
        <v>8.6301369863013697</v>
      </c>
    </row>
  </sheetData>
  <mergeCells count="1">
    <mergeCell ref="D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F700-57BA-4D23-A16B-11E7F0B4BFCD}">
  <dimension ref="B3:U65"/>
  <sheetViews>
    <sheetView tabSelected="1" zoomScale="70" zoomScaleNormal="70" workbookViewId="0">
      <selection activeCell="M36" sqref="M36"/>
    </sheetView>
  </sheetViews>
  <sheetFormatPr defaultRowHeight="15" x14ac:dyDescent="0.25"/>
  <cols>
    <col min="2" max="2" width="65.7109375" customWidth="1"/>
    <col min="3" max="3" width="16.28515625" customWidth="1"/>
    <col min="4" max="4" width="14.85546875" customWidth="1"/>
    <col min="5" max="5" width="15.5703125" customWidth="1"/>
    <col min="6" max="6" width="10.7109375" customWidth="1"/>
    <col min="7" max="7" width="12.28515625" customWidth="1"/>
    <col min="9" max="9" width="18.85546875" customWidth="1"/>
    <col min="13" max="13" width="29.7109375" customWidth="1"/>
    <col min="14" max="14" width="29" customWidth="1"/>
    <col min="15" max="15" width="30.28515625" customWidth="1"/>
    <col min="16" max="16" width="24" customWidth="1"/>
    <col min="19" max="19" width="18.7109375" customWidth="1"/>
    <col min="20" max="20" width="23" customWidth="1"/>
    <col min="21" max="21" width="18.42578125" customWidth="1"/>
  </cols>
  <sheetData>
    <row r="3" spans="2:21" x14ac:dyDescent="0.25">
      <c r="C3" t="s">
        <v>108</v>
      </c>
    </row>
    <row r="4" spans="2:21" ht="15.75" thickBot="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</row>
    <row r="5" spans="2:21" x14ac:dyDescent="0.25">
      <c r="B5" t="s">
        <v>19</v>
      </c>
      <c r="C5" s="2">
        <v>12</v>
      </c>
      <c r="D5" s="2">
        <v>11</v>
      </c>
      <c r="E5" s="3">
        <v>13</v>
      </c>
      <c r="F5" s="3">
        <v>13</v>
      </c>
      <c r="G5" s="3">
        <v>13</v>
      </c>
      <c r="H5" s="2">
        <v>13</v>
      </c>
      <c r="I5" s="2">
        <v>16</v>
      </c>
      <c r="J5" s="2">
        <v>16</v>
      </c>
      <c r="K5" s="2">
        <v>17</v>
      </c>
      <c r="L5" s="4">
        <v>17</v>
      </c>
      <c r="M5" s="4">
        <v>21</v>
      </c>
      <c r="N5" s="4">
        <v>21</v>
      </c>
      <c r="O5" s="4">
        <v>25</v>
      </c>
      <c r="P5" s="4">
        <v>26</v>
      </c>
      <c r="Q5" s="5">
        <v>25</v>
      </c>
      <c r="R5" s="5">
        <v>24</v>
      </c>
      <c r="S5" s="5">
        <v>28</v>
      </c>
    </row>
    <row r="6" spans="2:21" x14ac:dyDescent="0.25">
      <c r="B6" t="s">
        <v>20</v>
      </c>
      <c r="C6" s="13">
        <v>7</v>
      </c>
      <c r="D6" s="13">
        <v>6</v>
      </c>
      <c r="E6" s="13">
        <v>6</v>
      </c>
      <c r="F6" s="14">
        <v>6</v>
      </c>
      <c r="G6" s="14">
        <v>6</v>
      </c>
      <c r="H6" s="15">
        <v>6</v>
      </c>
      <c r="I6" s="15">
        <v>8</v>
      </c>
      <c r="J6" s="15">
        <v>8</v>
      </c>
      <c r="K6" s="15">
        <v>8</v>
      </c>
      <c r="L6" s="2">
        <v>8</v>
      </c>
      <c r="M6" s="2">
        <v>10</v>
      </c>
      <c r="N6" s="2">
        <v>10</v>
      </c>
      <c r="O6" s="3">
        <v>11</v>
      </c>
      <c r="P6" s="3">
        <v>14</v>
      </c>
      <c r="Q6" s="3">
        <v>14</v>
      </c>
      <c r="R6" s="6">
        <v>13</v>
      </c>
      <c r="S6" s="15">
        <v>17</v>
      </c>
    </row>
    <row r="7" spans="2:21" x14ac:dyDescent="0.25">
      <c r="B7" t="s">
        <v>21</v>
      </c>
      <c r="C7" s="7">
        <v>12.649021281978307</v>
      </c>
      <c r="D7" s="7">
        <v>11.594936175146781</v>
      </c>
      <c r="E7" s="8">
        <v>13.7031063888098</v>
      </c>
      <c r="F7" s="8">
        <v>13.588802830000001</v>
      </c>
      <c r="G7" s="8">
        <v>13.5888028264709</v>
      </c>
      <c r="H7" s="9">
        <v>13.588802830000001</v>
      </c>
      <c r="I7" s="9">
        <v>16.724680401810446</v>
      </c>
      <c r="J7" s="7">
        <v>16.634437444118699</v>
      </c>
      <c r="K7" s="7">
        <v>17.6740897843761</v>
      </c>
      <c r="L7" s="7">
        <v>17.6740897843761</v>
      </c>
      <c r="M7" s="7">
        <v>21.832699145405801</v>
      </c>
      <c r="N7" s="7">
        <v>21.832699145405801</v>
      </c>
      <c r="O7" s="9">
        <v>25.991308506435502</v>
      </c>
      <c r="P7" s="9">
        <v>27.205189910000001</v>
      </c>
      <c r="Q7" s="10">
        <v>26.1588364549545</v>
      </c>
      <c r="R7" s="11">
        <v>25.112482996756299</v>
      </c>
      <c r="S7" s="10">
        <v>29.297896829549</v>
      </c>
    </row>
    <row r="8" spans="2:21" x14ac:dyDescent="0.25">
      <c r="B8" t="s">
        <v>22</v>
      </c>
      <c r="C8" s="17">
        <v>7.378595747820679</v>
      </c>
      <c r="D8" s="17">
        <v>6.3245106409891543</v>
      </c>
      <c r="E8" s="18">
        <v>6.3245106409891498</v>
      </c>
      <c r="F8" s="18">
        <v>6.2717551509999998</v>
      </c>
      <c r="G8" s="18">
        <v>6.27175515067891</v>
      </c>
      <c r="H8" s="9">
        <v>6.2717551509999998</v>
      </c>
      <c r="I8" s="9">
        <v>8.3623402009052228</v>
      </c>
      <c r="J8" s="7">
        <v>8.3172187220593408</v>
      </c>
      <c r="K8" s="7">
        <v>8.3172187220593408</v>
      </c>
      <c r="L8" s="7">
        <v>8.3172187220593408</v>
      </c>
      <c r="M8" s="7">
        <v>10.3965234025742</v>
      </c>
      <c r="N8" s="7">
        <v>10.3965234025742</v>
      </c>
      <c r="O8" s="9">
        <v>11.436175742831599</v>
      </c>
      <c r="P8" s="9">
        <v>14.648948409999999</v>
      </c>
      <c r="Q8" s="10">
        <v>14.6489484147745</v>
      </c>
      <c r="R8" s="12">
        <v>13.602594956576301</v>
      </c>
      <c r="S8" s="19">
        <v>17.788008789369002</v>
      </c>
    </row>
    <row r="9" spans="2:21" x14ac:dyDescent="0.25">
      <c r="B9" t="s">
        <v>23</v>
      </c>
      <c r="C9">
        <f>C6/C5*100</f>
        <v>58.333333333333336</v>
      </c>
      <c r="D9">
        <f t="shared" ref="D9:S9" si="0">D6/D5*100</f>
        <v>54.54545454545454</v>
      </c>
      <c r="E9">
        <f t="shared" si="0"/>
        <v>46.153846153846153</v>
      </c>
      <c r="F9">
        <f t="shared" si="0"/>
        <v>46.153846153846153</v>
      </c>
      <c r="G9">
        <f t="shared" si="0"/>
        <v>46.153846153846153</v>
      </c>
      <c r="H9">
        <f t="shared" si="0"/>
        <v>46.153846153846153</v>
      </c>
      <c r="I9">
        <f t="shared" si="0"/>
        <v>50</v>
      </c>
      <c r="J9">
        <f t="shared" si="0"/>
        <v>50</v>
      </c>
      <c r="K9">
        <f t="shared" si="0"/>
        <v>47.058823529411761</v>
      </c>
      <c r="L9">
        <f t="shared" si="0"/>
        <v>47.058823529411761</v>
      </c>
      <c r="M9">
        <f t="shared" si="0"/>
        <v>47.619047619047613</v>
      </c>
      <c r="N9">
        <f t="shared" si="0"/>
        <v>47.619047619047613</v>
      </c>
      <c r="O9">
        <f t="shared" si="0"/>
        <v>44</v>
      </c>
      <c r="P9">
        <f t="shared" si="0"/>
        <v>53.846153846153847</v>
      </c>
      <c r="Q9">
        <f t="shared" si="0"/>
        <v>56.000000000000007</v>
      </c>
      <c r="R9">
        <f t="shared" si="0"/>
        <v>54.166666666666664</v>
      </c>
      <c r="S9">
        <f t="shared" si="0"/>
        <v>60.714285714285708</v>
      </c>
    </row>
    <row r="11" spans="2:21" ht="14.25" customHeight="1" x14ac:dyDescent="0.25">
      <c r="C11" s="22"/>
      <c r="D11" s="22"/>
      <c r="E11" s="23"/>
    </row>
    <row r="12" spans="2:21" x14ac:dyDescent="0.25">
      <c r="D12" s="22"/>
      <c r="E12" s="23"/>
    </row>
    <row r="13" spans="2:21" ht="45" x14ac:dyDescent="0.25">
      <c r="C13" s="49" t="s">
        <v>62</v>
      </c>
      <c r="D13" s="49" t="s">
        <v>47</v>
      </c>
      <c r="E13" s="49" t="s">
        <v>63</v>
      </c>
      <c r="F13" s="49" t="s">
        <v>48</v>
      </c>
      <c r="G13" s="49" t="s">
        <v>75</v>
      </c>
      <c r="H13" s="49" t="s">
        <v>48</v>
      </c>
      <c r="I13" s="49"/>
      <c r="M13" s="58" t="s">
        <v>76</v>
      </c>
      <c r="U13" s="20"/>
    </row>
    <row r="14" spans="2:21" x14ac:dyDescent="0.25">
      <c r="B14" t="s">
        <v>65</v>
      </c>
      <c r="C14" s="49">
        <v>2018</v>
      </c>
      <c r="D14" s="49">
        <v>182</v>
      </c>
      <c r="E14" s="49" t="s">
        <v>57</v>
      </c>
      <c r="F14" s="49"/>
      <c r="G14" s="49" t="s">
        <v>57</v>
      </c>
      <c r="H14" s="49"/>
      <c r="I14" s="49" t="s">
        <v>64</v>
      </c>
      <c r="M14" s="60"/>
      <c r="N14" s="60" t="s">
        <v>72</v>
      </c>
      <c r="O14" s="60" t="s">
        <v>73</v>
      </c>
      <c r="P14" s="60" t="s">
        <v>74</v>
      </c>
      <c r="U14" s="20"/>
    </row>
    <row r="15" spans="2:21" x14ac:dyDescent="0.25">
      <c r="B15" t="s">
        <v>66</v>
      </c>
      <c r="C15" s="49">
        <v>2019</v>
      </c>
      <c r="D15" s="49">
        <v>223</v>
      </c>
      <c r="E15" s="49">
        <v>12</v>
      </c>
      <c r="F15" s="49">
        <f t="shared" ref="F15:F46" si="1">D15/E15</f>
        <v>18.583333333333332</v>
      </c>
      <c r="G15" s="49">
        <v>12</v>
      </c>
      <c r="H15" s="49">
        <f t="shared" ref="H15:H46" si="2">D15/G15</f>
        <v>18.583333333333332</v>
      </c>
      <c r="I15" s="49"/>
      <c r="M15" s="60" t="s">
        <v>68</v>
      </c>
      <c r="N15" s="72">
        <v>0.17948717948717949</v>
      </c>
      <c r="O15" s="72">
        <v>0.1875</v>
      </c>
      <c r="P15" s="72">
        <v>0.20967741935483872</v>
      </c>
      <c r="U15" s="20"/>
    </row>
    <row r="16" spans="2:21" x14ac:dyDescent="0.25">
      <c r="B16" s="46" t="s">
        <v>67</v>
      </c>
      <c r="C16" s="49">
        <v>2020</v>
      </c>
      <c r="D16" s="50">
        <v>327</v>
      </c>
      <c r="E16" s="50">
        <f>G5</f>
        <v>13</v>
      </c>
      <c r="F16" s="49">
        <f t="shared" si="1"/>
        <v>25.153846153846153</v>
      </c>
      <c r="G16" s="50">
        <f>E16</f>
        <v>13</v>
      </c>
      <c r="H16" s="49">
        <f t="shared" si="2"/>
        <v>25.153846153846153</v>
      </c>
      <c r="I16" s="50">
        <f>G16-G15</f>
        <v>1</v>
      </c>
      <c r="M16" s="60" t="s">
        <v>69</v>
      </c>
      <c r="N16" s="72">
        <v>0.76923076923076927</v>
      </c>
      <c r="O16" s="72">
        <v>0.77083333333333337</v>
      </c>
      <c r="P16" s="72">
        <v>0.7661290322580645</v>
      </c>
      <c r="U16" s="20"/>
    </row>
    <row r="17" spans="2:21" x14ac:dyDescent="0.25">
      <c r="B17" s="46"/>
      <c r="C17" s="49">
        <v>2021</v>
      </c>
      <c r="D17" s="50">
        <v>572.66629519725598</v>
      </c>
      <c r="E17" s="50">
        <f>K5</f>
        <v>17</v>
      </c>
      <c r="F17" s="49">
        <f t="shared" si="1"/>
        <v>33.686252658662113</v>
      </c>
      <c r="G17" s="50">
        <f t="shared" ref="G17:G19" si="3">E17</f>
        <v>17</v>
      </c>
      <c r="H17" s="49">
        <f t="shared" si="2"/>
        <v>33.686252658662113</v>
      </c>
      <c r="I17" s="50">
        <f t="shared" ref="I17:I46" si="4">G17-G16</f>
        <v>4</v>
      </c>
      <c r="J17" s="43"/>
      <c r="M17" s="60" t="s">
        <v>70</v>
      </c>
      <c r="N17" s="72">
        <v>3.8461538461538464E-2</v>
      </c>
      <c r="O17" s="72">
        <v>3.3333333333333333E-2</v>
      </c>
      <c r="P17" s="72">
        <v>2.903225806451613E-2</v>
      </c>
      <c r="U17" s="20"/>
    </row>
    <row r="18" spans="2:21" x14ac:dyDescent="0.25">
      <c r="B18" s="46"/>
      <c r="C18" s="49">
        <v>2022</v>
      </c>
      <c r="D18" s="50">
        <v>868.97452650910918</v>
      </c>
      <c r="E18" s="50">
        <f>O5</f>
        <v>25</v>
      </c>
      <c r="F18" s="49">
        <f t="shared" si="1"/>
        <v>34.75898106036437</v>
      </c>
      <c r="G18" s="50">
        <f t="shared" si="3"/>
        <v>25</v>
      </c>
      <c r="H18" s="49">
        <f t="shared" si="2"/>
        <v>34.75898106036437</v>
      </c>
      <c r="I18" s="50">
        <f t="shared" si="4"/>
        <v>8</v>
      </c>
      <c r="J18" s="43"/>
      <c r="M18" s="60" t="s">
        <v>71</v>
      </c>
      <c r="N18" s="60">
        <v>45.641025641025642</v>
      </c>
      <c r="O18" s="60">
        <v>37.083333333333336</v>
      </c>
      <c r="P18" s="60">
        <v>28.70967741935484</v>
      </c>
    </row>
    <row r="19" spans="2:21" x14ac:dyDescent="0.25">
      <c r="C19" s="49">
        <v>2023</v>
      </c>
      <c r="D19" s="50">
        <v>1351.109727421077</v>
      </c>
      <c r="E19" s="50">
        <v>28</v>
      </c>
      <c r="F19" s="49">
        <f t="shared" si="1"/>
        <v>48.253918836467037</v>
      </c>
      <c r="G19" s="50">
        <f t="shared" si="3"/>
        <v>28</v>
      </c>
      <c r="H19" s="49">
        <f t="shared" si="2"/>
        <v>48.253918836467037</v>
      </c>
      <c r="I19" s="50">
        <f>G19-G18</f>
        <v>3</v>
      </c>
      <c r="J19" s="43"/>
    </row>
    <row r="20" spans="2:21" x14ac:dyDescent="0.25">
      <c r="C20" s="51">
        <v>2024</v>
      </c>
      <c r="D20" s="52">
        <v>2069.1812664567251</v>
      </c>
      <c r="E20" s="52">
        <f t="shared" ref="E20:E46" si="5">E19*1.24</f>
        <v>34.72</v>
      </c>
      <c r="F20" s="51">
        <f t="shared" si="1"/>
        <v>59.596234632970194</v>
      </c>
      <c r="G20" s="52">
        <f>G19*1.49</f>
        <v>41.72</v>
      </c>
      <c r="H20" s="51">
        <f t="shared" si="2"/>
        <v>49.596866405961769</v>
      </c>
      <c r="I20" s="52">
        <f t="shared" si="4"/>
        <v>13.719999999999999</v>
      </c>
      <c r="J20" s="43"/>
    </row>
    <row r="21" spans="2:21" x14ac:dyDescent="0.25">
      <c r="C21" s="49">
        <v>2025</v>
      </c>
      <c r="D21" s="50">
        <v>3110.6065806318966</v>
      </c>
      <c r="E21" s="50">
        <f t="shared" si="5"/>
        <v>43.052799999999998</v>
      </c>
      <c r="F21" s="49">
        <f t="shared" si="1"/>
        <v>72.250970450978727</v>
      </c>
      <c r="G21" s="50">
        <f t="shared" ref="G21:G26" si="6">G20*1.49</f>
        <v>62.162799999999997</v>
      </c>
      <c r="H21" s="49">
        <f t="shared" si="2"/>
        <v>50.039679368237863</v>
      </c>
      <c r="I21" s="50">
        <f t="shared" si="4"/>
        <v>20.442799999999998</v>
      </c>
      <c r="J21" s="43"/>
      <c r="S21" s="20"/>
    </row>
    <row r="22" spans="2:21" x14ac:dyDescent="0.25">
      <c r="C22" s="49">
        <v>2026</v>
      </c>
      <c r="D22" s="50">
        <v>4515.8553600098667</v>
      </c>
      <c r="E22" s="50">
        <f t="shared" si="5"/>
        <v>53.385472</v>
      </c>
      <c r="F22" s="49">
        <f t="shared" si="1"/>
        <v>84.589593213859132</v>
      </c>
      <c r="G22" s="50">
        <f t="shared" si="6"/>
        <v>92.622571999999991</v>
      </c>
      <c r="H22" s="49">
        <f t="shared" si="2"/>
        <v>48.755451964882461</v>
      </c>
      <c r="I22" s="50">
        <f t="shared" si="4"/>
        <v>30.459771999999994</v>
      </c>
      <c r="J22" s="43"/>
      <c r="S22" s="20"/>
    </row>
    <row r="23" spans="2:21" x14ac:dyDescent="0.25">
      <c r="C23" s="49">
        <v>2027</v>
      </c>
      <c r="D23" s="50">
        <v>6400.9988823983567</v>
      </c>
      <c r="E23" s="50">
        <f t="shared" si="5"/>
        <v>66.197985279999997</v>
      </c>
      <c r="F23" s="49">
        <f t="shared" si="1"/>
        <v>96.69476881092109</v>
      </c>
      <c r="G23" s="50">
        <f t="shared" si="6"/>
        <v>138.00763228</v>
      </c>
      <c r="H23" s="49">
        <f t="shared" si="2"/>
        <v>46.381484680583036</v>
      </c>
      <c r="I23" s="50">
        <f t="shared" si="4"/>
        <v>45.385060280000005</v>
      </c>
      <c r="J23" s="43"/>
      <c r="S23" s="20"/>
    </row>
    <row r="24" spans="2:21" x14ac:dyDescent="0.25">
      <c r="C24" s="49">
        <v>2028</v>
      </c>
      <c r="D24" s="50">
        <v>9047.3322134177979</v>
      </c>
      <c r="E24" s="50">
        <f t="shared" si="5"/>
        <v>82.085501747199999</v>
      </c>
      <c r="F24" s="49">
        <f t="shared" si="1"/>
        <v>110.21839448921209</v>
      </c>
      <c r="G24" s="50">
        <f t="shared" si="6"/>
        <v>205.6313720972</v>
      </c>
      <c r="H24" s="49">
        <f t="shared" si="2"/>
        <v>43.99782057156731</v>
      </c>
      <c r="I24" s="50">
        <f t="shared" si="4"/>
        <v>67.623739817200004</v>
      </c>
      <c r="J24" s="43"/>
      <c r="S24" s="20"/>
    </row>
    <row r="25" spans="2:21" x14ac:dyDescent="0.25">
      <c r="C25" s="49">
        <v>2029</v>
      </c>
      <c r="D25" s="50">
        <v>12605.8479869766</v>
      </c>
      <c r="E25" s="50">
        <f t="shared" si="5"/>
        <v>101.786022166528</v>
      </c>
      <c r="F25" s="49">
        <f t="shared" si="1"/>
        <v>123.84655298104371</v>
      </c>
      <c r="G25" s="50">
        <f t="shared" si="6"/>
        <v>306.39074442482797</v>
      </c>
      <c r="H25" s="49">
        <f t="shared" si="2"/>
        <v>41.143044352207596</v>
      </c>
      <c r="I25" s="50">
        <f t="shared" si="4"/>
        <v>100.75937232762797</v>
      </c>
      <c r="J25" s="43"/>
      <c r="S25" s="20"/>
    </row>
    <row r="26" spans="2:21" x14ac:dyDescent="0.25">
      <c r="C26" s="49">
        <v>2030</v>
      </c>
      <c r="D26" s="50">
        <v>16996.579848712885</v>
      </c>
      <c r="E26" s="50">
        <f t="shared" si="5"/>
        <v>126.21466748649472</v>
      </c>
      <c r="F26" s="51">
        <f t="shared" si="1"/>
        <v>134.66406232486062</v>
      </c>
      <c r="G26" s="50">
        <f t="shared" si="6"/>
        <v>456.52220919299367</v>
      </c>
      <c r="H26" s="51">
        <f t="shared" si="2"/>
        <v>37.230565143277886</v>
      </c>
      <c r="I26" s="50">
        <f t="shared" si="4"/>
        <v>150.1314647681657</v>
      </c>
      <c r="J26" s="43"/>
      <c r="S26" s="20"/>
    </row>
    <row r="27" spans="2:21" x14ac:dyDescent="0.25">
      <c r="C27" s="49">
        <v>2031</v>
      </c>
      <c r="D27" s="50">
        <v>22363.218241673108</v>
      </c>
      <c r="E27" s="50">
        <f>E26+38</f>
        <v>164.2146674864947</v>
      </c>
      <c r="F27" s="49">
        <f t="shared" si="1"/>
        <v>136.18283058370713</v>
      </c>
      <c r="G27" s="50">
        <f>G26+170</f>
        <v>626.52220919299361</v>
      </c>
      <c r="H27" s="49">
        <f t="shared" si="2"/>
        <v>35.694214687901592</v>
      </c>
      <c r="I27" s="50">
        <f t="shared" si="4"/>
        <v>169.99999999999994</v>
      </c>
      <c r="J27" s="43"/>
      <c r="S27" s="20"/>
    </row>
    <row r="28" spans="2:21" x14ac:dyDescent="0.25">
      <c r="C28" s="49">
        <v>2032</v>
      </c>
      <c r="D28" s="50">
        <v>27769.93824167311</v>
      </c>
      <c r="E28" s="50">
        <f t="shared" si="5"/>
        <v>203.62618768325342</v>
      </c>
      <c r="F28" s="49">
        <f t="shared" si="1"/>
        <v>136.37704736126608</v>
      </c>
      <c r="G28" s="50">
        <f t="shared" ref="G28:G38" si="7">G27+170</f>
        <v>796.52220919299361</v>
      </c>
      <c r="H28" s="49">
        <f t="shared" si="2"/>
        <v>34.863984859641981</v>
      </c>
      <c r="I28" s="50">
        <f t="shared" si="4"/>
        <v>170</v>
      </c>
      <c r="J28" s="43"/>
      <c r="S28" s="20"/>
    </row>
    <row r="29" spans="2:21" x14ac:dyDescent="0.25">
      <c r="C29" s="49">
        <v>2033</v>
      </c>
      <c r="D29" s="50">
        <v>32623.29824167311</v>
      </c>
      <c r="E29" s="50">
        <f t="shared" si="5"/>
        <v>252.49647272723425</v>
      </c>
      <c r="F29" s="49">
        <f t="shared" si="1"/>
        <v>129.20298604295854</v>
      </c>
      <c r="G29" s="50">
        <f t="shared" si="7"/>
        <v>966.52220919299361</v>
      </c>
      <c r="H29" s="49">
        <f t="shared" si="2"/>
        <v>33.753283609398096</v>
      </c>
      <c r="I29" s="50">
        <f t="shared" si="4"/>
        <v>170</v>
      </c>
      <c r="J29" s="43"/>
      <c r="S29" s="20"/>
    </row>
    <row r="30" spans="2:21" x14ac:dyDescent="0.25">
      <c r="C30" s="49">
        <v>2034</v>
      </c>
      <c r="D30" s="50">
        <v>37154.988241673112</v>
      </c>
      <c r="E30" s="50">
        <f t="shared" si="5"/>
        <v>313.09562618177046</v>
      </c>
      <c r="F30" s="49">
        <f t="shared" si="1"/>
        <v>118.66977732899549</v>
      </c>
      <c r="G30" s="50">
        <f t="shared" si="7"/>
        <v>1136.5222091929936</v>
      </c>
      <c r="H30" s="49">
        <f t="shared" si="2"/>
        <v>32.691827701330737</v>
      </c>
      <c r="I30" s="50">
        <f t="shared" si="4"/>
        <v>170</v>
      </c>
      <c r="J30" s="43"/>
      <c r="S30" s="20"/>
    </row>
    <row r="31" spans="2:21" x14ac:dyDescent="0.25">
      <c r="C31" s="49">
        <v>2035</v>
      </c>
      <c r="D31" s="50">
        <v>40025.857423952511</v>
      </c>
      <c r="E31" s="50">
        <f t="shared" si="5"/>
        <v>388.23857646539534</v>
      </c>
      <c r="F31" s="49">
        <f t="shared" si="1"/>
        <v>103.09603385721283</v>
      </c>
      <c r="G31" s="50">
        <f t="shared" si="7"/>
        <v>1306.5222091929936</v>
      </c>
      <c r="H31" s="49">
        <f t="shared" si="2"/>
        <v>30.635420616902863</v>
      </c>
      <c r="I31" s="50">
        <f t="shared" si="4"/>
        <v>170</v>
      </c>
      <c r="J31" s="43"/>
      <c r="S31" s="20"/>
    </row>
    <row r="32" spans="2:21" x14ac:dyDescent="0.25">
      <c r="C32" s="49">
        <v>2036</v>
      </c>
      <c r="D32" s="50">
        <v>42842.001128755255</v>
      </c>
      <c r="E32" s="50">
        <f t="shared" si="5"/>
        <v>481.41583481709023</v>
      </c>
      <c r="F32" s="49">
        <f t="shared" si="1"/>
        <v>88.991674204137269</v>
      </c>
      <c r="G32" s="50">
        <f t="shared" si="7"/>
        <v>1476.5222091929936</v>
      </c>
      <c r="H32" s="49">
        <f t="shared" si="2"/>
        <v>29.015480337522952</v>
      </c>
      <c r="I32" s="50">
        <f t="shared" si="4"/>
        <v>170</v>
      </c>
      <c r="J32" s="43"/>
      <c r="S32" s="20"/>
    </row>
    <row r="33" spans="3:19" x14ac:dyDescent="0.25">
      <c r="C33" s="49">
        <v>2037</v>
      </c>
      <c r="D33" s="50">
        <v>45408.032897443409</v>
      </c>
      <c r="E33" s="50">
        <f t="shared" si="5"/>
        <v>596.95563517319192</v>
      </c>
      <c r="F33" s="49">
        <f t="shared" si="1"/>
        <v>76.066009301125689</v>
      </c>
      <c r="G33" s="50">
        <f t="shared" si="7"/>
        <v>1646.5222091929936</v>
      </c>
      <c r="H33" s="49">
        <f t="shared" si="2"/>
        <v>27.578147834215457</v>
      </c>
      <c r="I33" s="50">
        <f t="shared" si="4"/>
        <v>170</v>
      </c>
      <c r="J33" s="43"/>
      <c r="S33" s="20"/>
    </row>
    <row r="34" spans="3:19" x14ac:dyDescent="0.25">
      <c r="C34" s="49">
        <v>2038</v>
      </c>
      <c r="D34" s="50">
        <v>48334.676496531443</v>
      </c>
      <c r="E34" s="50">
        <f t="shared" si="5"/>
        <v>740.22498761475799</v>
      </c>
      <c r="F34" s="49">
        <f t="shared" si="1"/>
        <v>65.297277591616108</v>
      </c>
      <c r="G34" s="50">
        <f t="shared" si="7"/>
        <v>1816.5222091929936</v>
      </c>
      <c r="H34" s="49">
        <f t="shared" si="2"/>
        <v>26.608359783283113</v>
      </c>
      <c r="I34" s="50">
        <f t="shared" si="4"/>
        <v>170</v>
      </c>
      <c r="J34" s="43"/>
      <c r="S34" s="20"/>
    </row>
    <row r="35" spans="3:19" x14ac:dyDescent="0.25">
      <c r="C35" s="49">
        <v>2039</v>
      </c>
      <c r="D35" s="50">
        <v>51416.268657495792</v>
      </c>
      <c r="E35" s="50">
        <f t="shared" si="5"/>
        <v>917.87898464229988</v>
      </c>
      <c r="F35" s="49">
        <f t="shared" si="1"/>
        <v>56.016391613468372</v>
      </c>
      <c r="G35" s="50">
        <f t="shared" si="7"/>
        <v>1986.5222091929936</v>
      </c>
      <c r="H35" s="49">
        <f t="shared" si="2"/>
        <v>25.882554153966986</v>
      </c>
      <c r="I35" s="50">
        <f t="shared" si="4"/>
        <v>170</v>
      </c>
      <c r="J35" s="43"/>
      <c r="S35" s="20"/>
    </row>
    <row r="36" spans="3:19" x14ac:dyDescent="0.25">
      <c r="C36" s="49">
        <v>2040</v>
      </c>
      <c r="D36" s="50">
        <v>54597.470643320623</v>
      </c>
      <c r="E36" s="50">
        <f t="shared" si="5"/>
        <v>1138.1699409564519</v>
      </c>
      <c r="F36" s="49">
        <f t="shared" si="1"/>
        <v>47.969524302706574</v>
      </c>
      <c r="G36" s="50">
        <f t="shared" si="7"/>
        <v>2156.5222091929936</v>
      </c>
      <c r="H36" s="49">
        <f t="shared" si="2"/>
        <v>25.317369981435018</v>
      </c>
      <c r="I36" s="50">
        <f t="shared" si="4"/>
        <v>170</v>
      </c>
      <c r="J36" s="43"/>
      <c r="S36" s="20"/>
    </row>
    <row r="37" spans="3:19" x14ac:dyDescent="0.25">
      <c r="C37" s="49">
        <v>2041</v>
      </c>
      <c r="D37" s="50">
        <v>57684.547863942651</v>
      </c>
      <c r="E37" s="50">
        <f t="shared" si="5"/>
        <v>1411.3307267860005</v>
      </c>
      <c r="F37" s="49">
        <f t="shared" si="1"/>
        <v>40.872452338160805</v>
      </c>
      <c r="G37" s="50">
        <f t="shared" si="7"/>
        <v>2326.5222091929936</v>
      </c>
      <c r="H37" s="49">
        <f t="shared" si="2"/>
        <v>24.794325038466678</v>
      </c>
      <c r="I37" s="50">
        <f t="shared" si="4"/>
        <v>170</v>
      </c>
      <c r="J37" s="43"/>
      <c r="S37" s="20"/>
    </row>
    <row r="38" spans="3:19" x14ac:dyDescent="0.25">
      <c r="C38" s="49">
        <v>2042</v>
      </c>
      <c r="D38" s="50">
        <v>60653.288941554158</v>
      </c>
      <c r="E38" s="50">
        <f t="shared" si="5"/>
        <v>1750.0501012146406</v>
      </c>
      <c r="F38" s="49">
        <f t="shared" si="1"/>
        <v>34.658030018373253</v>
      </c>
      <c r="G38" s="50">
        <f t="shared" si="7"/>
        <v>2496.5222091929936</v>
      </c>
      <c r="H38" s="49">
        <f t="shared" si="2"/>
        <v>24.295112904747789</v>
      </c>
      <c r="I38" s="50">
        <f t="shared" si="4"/>
        <v>170</v>
      </c>
      <c r="J38" s="43"/>
      <c r="S38" s="20"/>
    </row>
    <row r="39" spans="3:19" x14ac:dyDescent="0.25">
      <c r="C39" s="49">
        <v>2043</v>
      </c>
      <c r="D39" s="50">
        <v>63585.462210534723</v>
      </c>
      <c r="E39" s="50">
        <f t="shared" si="5"/>
        <v>2170.0621255061542</v>
      </c>
      <c r="F39" s="49">
        <f t="shared" si="1"/>
        <v>29.301217445884774</v>
      </c>
      <c r="G39" s="50">
        <f>G38+(0.82*I38)</f>
        <v>2635.9222091929937</v>
      </c>
      <c r="H39" s="49">
        <f t="shared" si="2"/>
        <v>24.122662644889608</v>
      </c>
      <c r="I39" s="50">
        <f t="shared" si="4"/>
        <v>139.40000000000009</v>
      </c>
      <c r="J39" s="43"/>
      <c r="S39" s="20"/>
    </row>
    <row r="40" spans="3:19" x14ac:dyDescent="0.25">
      <c r="C40" s="49">
        <v>2044</v>
      </c>
      <c r="D40" s="50">
        <v>66276.858136975919</v>
      </c>
      <c r="E40" s="50">
        <f t="shared" si="5"/>
        <v>2690.8770356276314</v>
      </c>
      <c r="F40" s="49">
        <f t="shared" si="1"/>
        <v>24.630206902604613</v>
      </c>
      <c r="G40" s="50">
        <f t="shared" ref="G40:G46" si="8">G39+(0.82*I39)</f>
        <v>2750.2302091929937</v>
      </c>
      <c r="H40" s="49">
        <f t="shared" si="2"/>
        <v>24.098658328832659</v>
      </c>
      <c r="I40" s="50">
        <f t="shared" si="4"/>
        <v>114.30799999999999</v>
      </c>
      <c r="J40" s="43"/>
      <c r="S40" s="20"/>
    </row>
    <row r="41" spans="3:19" x14ac:dyDescent="0.25">
      <c r="C41" s="49">
        <v>2045</v>
      </c>
      <c r="D41" s="50">
        <v>68436.508275239627</v>
      </c>
      <c r="E41" s="50">
        <f t="shared" si="5"/>
        <v>3336.6875241782627</v>
      </c>
      <c r="F41" s="49">
        <f t="shared" si="1"/>
        <v>20.51031383050881</v>
      </c>
      <c r="G41" s="50">
        <f t="shared" si="8"/>
        <v>2843.9627691929936</v>
      </c>
      <c r="H41" s="49">
        <f t="shared" si="2"/>
        <v>24.063784876712454</v>
      </c>
      <c r="I41" s="50">
        <f t="shared" si="4"/>
        <v>93.732559999999921</v>
      </c>
      <c r="J41" s="43"/>
      <c r="S41" s="20"/>
    </row>
    <row r="42" spans="3:19" x14ac:dyDescent="0.25">
      <c r="C42" s="49">
        <v>2046</v>
      </c>
      <c r="D42" s="50">
        <v>69949.919882279413</v>
      </c>
      <c r="E42" s="50">
        <f t="shared" si="5"/>
        <v>4137.4925299810457</v>
      </c>
      <c r="F42" s="49">
        <f t="shared" si="1"/>
        <v>16.906355570531957</v>
      </c>
      <c r="G42" s="50">
        <f>G41+(0.82*I41)</f>
        <v>2920.8234683929936</v>
      </c>
      <c r="H42" s="49">
        <f t="shared" si="2"/>
        <v>23.948698248704886</v>
      </c>
      <c r="I42" s="50">
        <f t="shared" si="4"/>
        <v>76.860699199999999</v>
      </c>
      <c r="J42" s="43"/>
      <c r="S42" s="20"/>
    </row>
    <row r="43" spans="3:19" x14ac:dyDescent="0.25">
      <c r="C43" s="49">
        <v>2047</v>
      </c>
      <c r="D43" s="50">
        <v>70822.704682279407</v>
      </c>
      <c r="E43" s="50">
        <f t="shared" si="5"/>
        <v>5130.4907371764966</v>
      </c>
      <c r="F43" s="49">
        <f t="shared" si="1"/>
        <v>13.804274933991174</v>
      </c>
      <c r="G43" s="50">
        <f t="shared" si="8"/>
        <v>2983.8492417369935</v>
      </c>
      <c r="H43" s="49">
        <f t="shared" si="2"/>
        <v>23.735349524914756</v>
      </c>
      <c r="I43" s="50">
        <f t="shared" si="4"/>
        <v>63.025773343999845</v>
      </c>
      <c r="J43" s="43"/>
      <c r="S43" s="20"/>
    </row>
    <row r="44" spans="3:19" x14ac:dyDescent="0.25">
      <c r="C44" s="49">
        <v>2048</v>
      </c>
      <c r="D44" s="50">
        <v>71646.047082279401</v>
      </c>
      <c r="E44" s="50">
        <f t="shared" si="5"/>
        <v>6361.808514098856</v>
      </c>
      <c r="F44" s="49">
        <f t="shared" si="1"/>
        <v>11.261899336249984</v>
      </c>
      <c r="G44" s="50">
        <f t="shared" si="8"/>
        <v>3035.5303758790733</v>
      </c>
      <c r="H44" s="49">
        <f t="shared" si="2"/>
        <v>23.602480690555137</v>
      </c>
      <c r="I44" s="50">
        <f t="shared" si="4"/>
        <v>51.681134142079827</v>
      </c>
      <c r="J44" s="43"/>
      <c r="S44" s="20"/>
    </row>
    <row r="45" spans="3:19" x14ac:dyDescent="0.25">
      <c r="C45" s="49">
        <v>2049</v>
      </c>
      <c r="D45" s="50">
        <v>72443.589182279393</v>
      </c>
      <c r="E45" s="50">
        <f t="shared" si="5"/>
        <v>7888.6425574825817</v>
      </c>
      <c r="F45" s="49">
        <f t="shared" si="1"/>
        <v>9.1832769268477978</v>
      </c>
      <c r="G45" s="50">
        <f t="shared" si="8"/>
        <v>3077.908905875579</v>
      </c>
      <c r="H45" s="49">
        <f t="shared" si="2"/>
        <v>23.536625481016703</v>
      </c>
      <c r="I45" s="50">
        <f t="shared" si="4"/>
        <v>42.378529996505677</v>
      </c>
      <c r="J45" s="43"/>
      <c r="S45" s="20"/>
    </row>
    <row r="46" spans="3:19" x14ac:dyDescent="0.25">
      <c r="C46" s="49">
        <v>2050</v>
      </c>
      <c r="D46" s="50">
        <v>73102.319782279403</v>
      </c>
      <c r="E46" s="50">
        <f t="shared" si="5"/>
        <v>9781.9167712784019</v>
      </c>
      <c r="F46" s="49">
        <f t="shared" si="1"/>
        <v>7.4732101582505734</v>
      </c>
      <c r="G46" s="50">
        <f t="shared" si="8"/>
        <v>3112.6593004727138</v>
      </c>
      <c r="H46" s="49">
        <f t="shared" si="2"/>
        <v>23.485487078903073</v>
      </c>
      <c r="I46" s="50">
        <f t="shared" si="4"/>
        <v>34.7503945971348</v>
      </c>
      <c r="J46" s="43"/>
      <c r="S46" s="20"/>
    </row>
    <row r="47" spans="3:19" x14ac:dyDescent="0.25">
      <c r="J47" s="43"/>
      <c r="S47" s="20"/>
    </row>
    <row r="48" spans="3:19" x14ac:dyDescent="0.25">
      <c r="J48" s="43"/>
      <c r="S48" s="20"/>
    </row>
    <row r="49" spans="3:19" x14ac:dyDescent="0.25">
      <c r="F49" s="73"/>
      <c r="G49" s="73"/>
      <c r="H49" s="73"/>
      <c r="I49" s="73"/>
      <c r="S49" s="20"/>
    </row>
    <row r="50" spans="3:19" x14ac:dyDescent="0.25">
      <c r="D50" s="68" t="s">
        <v>114</v>
      </c>
      <c r="E50" s="68"/>
      <c r="F50" s="68"/>
      <c r="G50" s="74"/>
      <c r="H50" s="74"/>
      <c r="I50" s="75"/>
      <c r="S50" s="20"/>
    </row>
    <row r="51" spans="3:19" x14ac:dyDescent="0.25">
      <c r="C51" s="60" t="s">
        <v>118</v>
      </c>
      <c r="D51" s="60" t="s">
        <v>115</v>
      </c>
      <c r="E51" s="60" t="s">
        <v>116</v>
      </c>
      <c r="F51" s="49" t="s">
        <v>117</v>
      </c>
      <c r="G51" s="74"/>
      <c r="H51" s="74"/>
      <c r="I51" s="75"/>
      <c r="S51" s="20"/>
    </row>
    <row r="52" spans="3:19" x14ac:dyDescent="0.25">
      <c r="C52" s="60">
        <v>2019</v>
      </c>
      <c r="D52" s="60">
        <v>12</v>
      </c>
      <c r="E52" s="60">
        <v>7</v>
      </c>
      <c r="F52" s="76">
        <f>E52/D52*100</f>
        <v>58.333333333333336</v>
      </c>
      <c r="G52" s="74"/>
      <c r="H52" s="74"/>
      <c r="I52" s="75"/>
      <c r="S52" s="20"/>
    </row>
    <row r="53" spans="3:19" x14ac:dyDescent="0.25">
      <c r="C53" s="60">
        <v>2020</v>
      </c>
      <c r="D53" s="60">
        <v>13</v>
      </c>
      <c r="E53" s="60">
        <v>6</v>
      </c>
      <c r="F53" s="76">
        <f t="shared" ref="F53:F56" si="9">E53/D53*100</f>
        <v>46.153846153846153</v>
      </c>
      <c r="G53" s="74"/>
      <c r="H53" s="74"/>
      <c r="I53" s="75"/>
    </row>
    <row r="54" spans="3:19" x14ac:dyDescent="0.25">
      <c r="C54" s="60">
        <v>2021</v>
      </c>
      <c r="D54" s="60">
        <v>17</v>
      </c>
      <c r="E54" s="60">
        <v>8</v>
      </c>
      <c r="F54" s="76">
        <f t="shared" si="9"/>
        <v>47.058823529411761</v>
      </c>
      <c r="G54" s="74"/>
      <c r="H54" s="74"/>
      <c r="I54" s="75"/>
    </row>
    <row r="55" spans="3:19" x14ac:dyDescent="0.25">
      <c r="C55" s="60">
        <v>2022</v>
      </c>
      <c r="D55" s="60">
        <v>25</v>
      </c>
      <c r="E55" s="60">
        <v>11</v>
      </c>
      <c r="F55" s="76">
        <f t="shared" si="9"/>
        <v>44</v>
      </c>
      <c r="G55" s="74"/>
      <c r="H55" s="74"/>
      <c r="I55" s="75"/>
    </row>
    <row r="56" spans="3:19" x14ac:dyDescent="0.25">
      <c r="C56" s="60">
        <v>2023</v>
      </c>
      <c r="D56" s="60">
        <v>28</v>
      </c>
      <c r="E56" s="60">
        <v>17</v>
      </c>
      <c r="F56" s="76">
        <f t="shared" si="9"/>
        <v>60.714285714285708</v>
      </c>
      <c r="G56" s="74"/>
      <c r="H56" s="74"/>
      <c r="I56" s="75"/>
    </row>
    <row r="58" spans="3:19" x14ac:dyDescent="0.25">
      <c r="F58" s="73"/>
      <c r="G58" s="73"/>
      <c r="H58" s="73"/>
      <c r="I58" s="73"/>
    </row>
    <row r="59" spans="3:19" x14ac:dyDescent="0.25">
      <c r="F59" s="73"/>
      <c r="G59" s="74"/>
      <c r="H59" s="74"/>
      <c r="I59" s="75"/>
    </row>
    <row r="60" spans="3:19" x14ac:dyDescent="0.25">
      <c r="F60" s="73"/>
      <c r="G60" s="74"/>
      <c r="H60" s="74"/>
      <c r="I60" s="75"/>
    </row>
    <row r="61" spans="3:19" x14ac:dyDescent="0.25">
      <c r="F61" s="73"/>
      <c r="G61" s="74"/>
      <c r="H61" s="74"/>
      <c r="I61" s="75"/>
    </row>
    <row r="62" spans="3:19" x14ac:dyDescent="0.25">
      <c r="F62" s="73"/>
      <c r="G62" s="74"/>
      <c r="H62" s="74"/>
      <c r="I62" s="75"/>
    </row>
    <row r="63" spans="3:19" x14ac:dyDescent="0.25">
      <c r="F63" s="73"/>
      <c r="G63" s="74"/>
      <c r="H63" s="74"/>
      <c r="I63" s="75"/>
    </row>
    <row r="64" spans="3:19" x14ac:dyDescent="0.25">
      <c r="F64" s="73"/>
      <c r="G64" s="74"/>
      <c r="H64" s="74"/>
      <c r="I64" s="75"/>
    </row>
    <row r="65" spans="6:9" x14ac:dyDescent="0.25">
      <c r="F65" s="73"/>
      <c r="G65" s="74"/>
      <c r="H65" s="74"/>
      <c r="I65" s="75"/>
    </row>
  </sheetData>
  <mergeCells count="1">
    <mergeCell ref="D50:F50"/>
  </mergeCells>
  <conditionalFormatting sqref="H15:H46">
    <cfRule type="colorScale" priority="2">
      <colorScale>
        <cfvo type="num" val="0"/>
        <cfvo type="num" val="28.7"/>
        <cfvo type="num" val="70"/>
        <color rgb="FF00B050"/>
        <color rgb="FFFFEB84"/>
        <color rgb="FFFF0000"/>
      </colorScale>
    </cfRule>
  </conditionalFormatting>
  <conditionalFormatting sqref="F15:F46">
    <cfRule type="colorScale" priority="1">
      <colorScale>
        <cfvo type="num" val="0"/>
        <cfvo type="num" val="39"/>
        <cfvo type="num" val="96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8886-0E76-4157-8D28-13153C3FDF27}">
  <dimension ref="B3:X77"/>
  <sheetViews>
    <sheetView zoomScale="55" zoomScaleNormal="55" workbookViewId="0">
      <selection activeCell="I65" sqref="I65"/>
    </sheetView>
  </sheetViews>
  <sheetFormatPr defaultRowHeight="15" x14ac:dyDescent="0.25"/>
  <cols>
    <col min="2" max="2" width="27.7109375" customWidth="1"/>
    <col min="3" max="3" width="21.7109375" customWidth="1"/>
    <col min="4" max="4" width="29.7109375" customWidth="1"/>
    <col min="5" max="5" width="27.140625" customWidth="1"/>
    <col min="6" max="6" width="21.5703125" customWidth="1"/>
    <col min="7" max="7" width="22" customWidth="1"/>
    <col min="8" max="8" width="19.85546875" customWidth="1"/>
    <col min="9" max="9" width="15.28515625" customWidth="1"/>
    <col min="10" max="10" width="19.7109375" customWidth="1"/>
    <col min="11" max="11" width="24" customWidth="1"/>
    <col min="12" max="12" width="16.42578125" customWidth="1"/>
    <col min="13" max="13" width="13.5703125" customWidth="1"/>
    <col min="14" max="14" width="16.85546875" customWidth="1"/>
    <col min="15" max="15" width="29" customWidth="1"/>
    <col min="16" max="16" width="17.28515625" customWidth="1"/>
    <col min="17" max="17" width="17.140625" customWidth="1"/>
    <col min="20" max="20" width="18" customWidth="1"/>
    <col min="21" max="21" width="7.42578125" customWidth="1"/>
    <col min="22" max="22" width="15" customWidth="1"/>
    <col min="23" max="23" width="12.5703125" customWidth="1"/>
    <col min="24" max="24" width="15.42578125" customWidth="1"/>
  </cols>
  <sheetData>
    <row r="3" spans="2:22" ht="18.75" x14ac:dyDescent="0.3">
      <c r="B3" s="42" t="s">
        <v>53</v>
      </c>
    </row>
    <row r="4" spans="2:22" ht="15.75" thickBot="1" x14ac:dyDescent="0.3"/>
    <row r="5" spans="2:22" x14ac:dyDescent="0.25">
      <c r="B5" s="24"/>
      <c r="C5" s="25"/>
      <c r="D5" s="57" t="s">
        <v>24</v>
      </c>
      <c r="E5" s="57"/>
      <c r="F5" s="57"/>
      <c r="G5" s="57"/>
      <c r="H5" s="57"/>
      <c r="I5" s="26"/>
      <c r="J5" s="57" t="s">
        <v>25</v>
      </c>
      <c r="K5" s="57"/>
      <c r="L5" s="57"/>
      <c r="M5" s="57"/>
      <c r="N5" s="26"/>
      <c r="O5" s="26"/>
      <c r="P5" s="27"/>
      <c r="Q5" s="29"/>
      <c r="S5" s="24"/>
      <c r="T5" s="25" t="s">
        <v>54</v>
      </c>
      <c r="U5" s="25" t="s">
        <v>55</v>
      </c>
      <c r="V5" s="27" t="s">
        <v>56</v>
      </c>
    </row>
    <row r="6" spans="2:22" x14ac:dyDescent="0.25">
      <c r="B6" s="28"/>
      <c r="C6" s="29"/>
      <c r="D6" s="56" t="s">
        <v>26</v>
      </c>
      <c r="E6" s="56"/>
      <c r="F6" s="56" t="s">
        <v>27</v>
      </c>
      <c r="G6" s="56"/>
      <c r="H6" s="41"/>
      <c r="I6" s="56" t="s">
        <v>26</v>
      </c>
      <c r="J6" s="56"/>
      <c r="K6" s="56" t="s">
        <v>27</v>
      </c>
      <c r="L6" s="56"/>
      <c r="M6" s="30"/>
      <c r="N6" s="30"/>
      <c r="O6" s="29"/>
      <c r="P6" s="31"/>
      <c r="Q6" s="29"/>
      <c r="S6" s="28">
        <v>2008</v>
      </c>
      <c r="T6" s="29">
        <v>2198</v>
      </c>
      <c r="U6" s="29">
        <v>0</v>
      </c>
      <c r="V6" s="37">
        <f t="shared" ref="V6:V8" si="0">T6-U6</f>
        <v>2198</v>
      </c>
    </row>
    <row r="7" spans="2:22" x14ac:dyDescent="0.25">
      <c r="B7" s="28" t="s">
        <v>0</v>
      </c>
      <c r="C7" s="29" t="s">
        <v>28</v>
      </c>
      <c r="D7" s="29" t="s">
        <v>29</v>
      </c>
      <c r="E7" s="29" t="s">
        <v>30</v>
      </c>
      <c r="F7" s="29" t="s">
        <v>29</v>
      </c>
      <c r="G7" s="29" t="s">
        <v>30</v>
      </c>
      <c r="H7" s="32" t="s">
        <v>31</v>
      </c>
      <c r="I7" s="29" t="s">
        <v>29</v>
      </c>
      <c r="J7" s="29" t="s">
        <v>30</v>
      </c>
      <c r="K7" s="29" t="s">
        <v>29</v>
      </c>
      <c r="L7" s="29" t="s">
        <v>30</v>
      </c>
      <c r="M7" s="32" t="s">
        <v>1</v>
      </c>
      <c r="N7" s="32" t="s">
        <v>32</v>
      </c>
      <c r="O7" s="29" t="s">
        <v>50</v>
      </c>
      <c r="P7" s="31" t="s">
        <v>49</v>
      </c>
      <c r="Q7" s="29"/>
      <c r="S7" s="28">
        <v>2009</v>
      </c>
      <c r="T7" s="29">
        <v>2527</v>
      </c>
      <c r="U7" s="29">
        <v>0</v>
      </c>
      <c r="V7" s="37">
        <f t="shared" si="0"/>
        <v>2527</v>
      </c>
    </row>
    <row r="8" spans="2:22" x14ac:dyDescent="0.25">
      <c r="B8" s="28">
        <v>2018</v>
      </c>
      <c r="C8" s="29">
        <v>4154</v>
      </c>
      <c r="D8" s="29">
        <v>1</v>
      </c>
      <c r="E8" s="29">
        <v>16</v>
      </c>
      <c r="F8" s="29">
        <v>1</v>
      </c>
      <c r="G8" s="29">
        <v>0</v>
      </c>
      <c r="H8" s="29">
        <f t="shared" ref="H8:H12" si="1">D8+E8+F8+G8</f>
        <v>18</v>
      </c>
      <c r="I8" s="29">
        <v>3</v>
      </c>
      <c r="J8" s="29">
        <v>36</v>
      </c>
      <c r="K8" s="29">
        <v>0</v>
      </c>
      <c r="L8" s="29">
        <v>0</v>
      </c>
      <c r="M8" s="21">
        <f t="shared" ref="M8:M12" si="2">I8+J8+K8+L8</f>
        <v>39</v>
      </c>
      <c r="N8" s="21">
        <f t="shared" ref="N8:N12" si="3">M8+H8</f>
        <v>57</v>
      </c>
      <c r="O8" s="29">
        <f t="shared" ref="O8:O12" si="4">H8/N8*100</f>
        <v>31.578947368421051</v>
      </c>
      <c r="P8" s="31">
        <f t="shared" ref="P8:P12" si="5">N8/C8*100</f>
        <v>1.3721714010592201</v>
      </c>
      <c r="Q8" s="29"/>
      <c r="S8" s="28">
        <v>2010</v>
      </c>
      <c r="T8" s="29">
        <v>2883</v>
      </c>
      <c r="U8" s="29">
        <v>0</v>
      </c>
      <c r="V8" s="37">
        <f t="shared" si="0"/>
        <v>2883</v>
      </c>
    </row>
    <row r="9" spans="2:22" x14ac:dyDescent="0.25">
      <c r="B9" s="28">
        <v>2019</v>
      </c>
      <c r="C9" s="29">
        <v>3891</v>
      </c>
      <c r="D9" s="29">
        <v>4</v>
      </c>
      <c r="E9" s="29">
        <v>31</v>
      </c>
      <c r="F9" s="29">
        <v>0</v>
      </c>
      <c r="G9" s="29">
        <v>0</v>
      </c>
      <c r="H9" s="29">
        <f t="shared" si="1"/>
        <v>35</v>
      </c>
      <c r="I9" s="29">
        <v>2</v>
      </c>
      <c r="J9" s="29">
        <f>19+12</f>
        <v>31</v>
      </c>
      <c r="K9" s="29">
        <v>1</v>
      </c>
      <c r="L9" s="29">
        <v>0</v>
      </c>
      <c r="M9" s="21">
        <f t="shared" si="2"/>
        <v>34</v>
      </c>
      <c r="N9" s="21">
        <f t="shared" si="3"/>
        <v>69</v>
      </c>
      <c r="O9" s="29">
        <f t="shared" si="4"/>
        <v>50.724637681159422</v>
      </c>
      <c r="P9" s="31">
        <f t="shared" si="5"/>
        <v>1.7733230531996915</v>
      </c>
      <c r="Q9" s="29"/>
      <c r="S9" s="28">
        <v>2011</v>
      </c>
      <c r="T9" s="29">
        <v>3110</v>
      </c>
      <c r="U9" s="29">
        <v>0</v>
      </c>
      <c r="V9" s="37">
        <f t="shared" ref="V9:V16" si="6">T9-U9</f>
        <v>3110</v>
      </c>
    </row>
    <row r="10" spans="2:22" x14ac:dyDescent="0.25">
      <c r="B10" s="28">
        <v>2020</v>
      </c>
      <c r="C10" s="21">
        <v>2476</v>
      </c>
      <c r="D10" s="29">
        <v>13</v>
      </c>
      <c r="E10" s="29">
        <v>101</v>
      </c>
      <c r="F10" s="29">
        <v>0</v>
      </c>
      <c r="G10" s="29">
        <v>0</v>
      </c>
      <c r="H10" s="29">
        <f t="shared" si="1"/>
        <v>114</v>
      </c>
      <c r="I10" s="29">
        <f>9+2+1</f>
        <v>12</v>
      </c>
      <c r="J10" s="29">
        <v>44</v>
      </c>
      <c r="K10" s="29">
        <v>0</v>
      </c>
      <c r="L10" s="29">
        <v>0</v>
      </c>
      <c r="M10" s="21">
        <f t="shared" si="2"/>
        <v>56</v>
      </c>
      <c r="N10" s="21">
        <f t="shared" si="3"/>
        <v>170</v>
      </c>
      <c r="O10" s="29">
        <f t="shared" si="4"/>
        <v>67.058823529411754</v>
      </c>
      <c r="P10" s="31">
        <f t="shared" si="5"/>
        <v>6.8659127625201934</v>
      </c>
      <c r="Q10" s="29"/>
      <c r="S10" s="28">
        <v>2012</v>
      </c>
      <c r="T10" s="29">
        <f>3416</f>
        <v>3416</v>
      </c>
      <c r="U10" s="29">
        <v>2</v>
      </c>
      <c r="V10" s="37">
        <f t="shared" si="6"/>
        <v>3414</v>
      </c>
    </row>
    <row r="11" spans="2:22" x14ac:dyDescent="0.25">
      <c r="B11" s="28">
        <v>2021</v>
      </c>
      <c r="C11" s="21">
        <v>2459</v>
      </c>
      <c r="D11" s="29">
        <v>46</v>
      </c>
      <c r="E11" s="29">
        <v>142</v>
      </c>
      <c r="F11" s="29">
        <v>3</v>
      </c>
      <c r="G11" s="29">
        <v>1</v>
      </c>
      <c r="H11" s="29">
        <f t="shared" si="1"/>
        <v>192</v>
      </c>
      <c r="I11" s="29">
        <v>10</v>
      </c>
      <c r="J11" s="29">
        <v>81</v>
      </c>
      <c r="K11" s="29">
        <v>0</v>
      </c>
      <c r="L11" s="29">
        <v>0</v>
      </c>
      <c r="M11" s="21">
        <f t="shared" si="2"/>
        <v>91</v>
      </c>
      <c r="N11" s="21">
        <f t="shared" si="3"/>
        <v>283</v>
      </c>
      <c r="O11" s="29">
        <f t="shared" si="4"/>
        <v>67.844522968197879</v>
      </c>
      <c r="P11" s="31">
        <f t="shared" si="5"/>
        <v>11.508743391622611</v>
      </c>
      <c r="Q11" s="29"/>
      <c r="S11" s="28">
        <v>2013</v>
      </c>
      <c r="T11" s="29">
        <v>4036</v>
      </c>
      <c r="U11" s="29">
        <f>2+2+5+1+4</f>
        <v>14</v>
      </c>
      <c r="V11" s="37">
        <f t="shared" si="6"/>
        <v>4022</v>
      </c>
    </row>
    <row r="12" spans="2:22" ht="15.75" thickBot="1" x14ac:dyDescent="0.3">
      <c r="B12" s="33">
        <v>2022</v>
      </c>
      <c r="C12" s="34">
        <v>2276</v>
      </c>
      <c r="D12" s="35">
        <v>53</v>
      </c>
      <c r="E12" s="35">
        <v>175</v>
      </c>
      <c r="F12" s="35">
        <v>2</v>
      </c>
      <c r="G12" s="35">
        <v>0</v>
      </c>
      <c r="H12" s="35">
        <f t="shared" si="1"/>
        <v>230</v>
      </c>
      <c r="I12" s="35">
        <v>21</v>
      </c>
      <c r="J12" s="35">
        <v>69</v>
      </c>
      <c r="K12" s="35">
        <v>0</v>
      </c>
      <c r="L12" s="35">
        <v>0</v>
      </c>
      <c r="M12" s="34">
        <f t="shared" si="2"/>
        <v>90</v>
      </c>
      <c r="N12" s="34">
        <f t="shared" si="3"/>
        <v>320</v>
      </c>
      <c r="O12" s="35">
        <f t="shared" si="4"/>
        <v>71.875</v>
      </c>
      <c r="P12" s="36">
        <f t="shared" si="5"/>
        <v>14.059753954305801</v>
      </c>
      <c r="Q12" s="29"/>
      <c r="S12" s="28">
        <v>2014</v>
      </c>
      <c r="T12" s="29">
        <v>4607</v>
      </c>
      <c r="U12" s="29">
        <f>4+17</f>
        <v>21</v>
      </c>
      <c r="V12" s="37">
        <f t="shared" si="6"/>
        <v>4586</v>
      </c>
    </row>
    <row r="13" spans="2:22" ht="15.75" thickBot="1" x14ac:dyDescent="0.3">
      <c r="C13" s="16"/>
      <c r="N13" s="16"/>
      <c r="O13" s="16"/>
      <c r="S13" s="28">
        <v>2015</v>
      </c>
      <c r="T13" s="29">
        <v>4870</v>
      </c>
      <c r="U13" s="29">
        <f>6+27</f>
        <v>33</v>
      </c>
      <c r="V13" s="37">
        <f t="shared" si="6"/>
        <v>4837</v>
      </c>
    </row>
    <row r="14" spans="2:22" x14ac:dyDescent="0.25">
      <c r="B14" s="24" t="s">
        <v>33</v>
      </c>
      <c r="C14" s="25" t="s">
        <v>51</v>
      </c>
      <c r="D14" s="25" t="s">
        <v>34</v>
      </c>
      <c r="E14" s="25" t="s">
        <v>35</v>
      </c>
      <c r="F14" s="25" t="s">
        <v>43</v>
      </c>
      <c r="G14" s="25" t="s">
        <v>52</v>
      </c>
      <c r="H14" s="27" t="s">
        <v>36</v>
      </c>
      <c r="I14" s="29"/>
      <c r="J14" s="39"/>
      <c r="K14" s="39"/>
      <c r="L14" s="39"/>
      <c r="M14" s="39"/>
      <c r="N14" s="39"/>
      <c r="O14" s="39"/>
      <c r="S14" s="28">
        <v>2016</v>
      </c>
      <c r="T14" s="29">
        <v>5150</v>
      </c>
      <c r="U14" s="29">
        <f>1+12+1+19+2+1</f>
        <v>36</v>
      </c>
      <c r="V14" s="37">
        <f t="shared" si="6"/>
        <v>5114</v>
      </c>
    </row>
    <row r="15" spans="2:22" x14ac:dyDescent="0.25">
      <c r="B15" s="28">
        <v>2018</v>
      </c>
      <c r="C15" s="29">
        <f>(52.6+6.9)*1000</f>
        <v>59500</v>
      </c>
      <c r="D15" s="29">
        <f>68</f>
        <v>68</v>
      </c>
      <c r="E15" s="29">
        <f>5+108+1</f>
        <v>114</v>
      </c>
      <c r="F15" s="29">
        <f t="shared" ref="F15:F19" si="7">SUM(D15:E15)</f>
        <v>182</v>
      </c>
      <c r="G15" s="29">
        <f>C15-58600</f>
        <v>900</v>
      </c>
      <c r="H15" s="31">
        <f>C8-G15</f>
        <v>3254</v>
      </c>
      <c r="I15" s="29"/>
      <c r="J15" s="39"/>
      <c r="K15" s="40"/>
      <c r="L15" s="21"/>
      <c r="M15" s="40"/>
      <c r="N15" s="21"/>
      <c r="O15" s="29"/>
      <c r="S15" s="28">
        <v>2017</v>
      </c>
      <c r="T15" s="29">
        <v>4658</v>
      </c>
      <c r="U15" s="29">
        <f>4+11+1+35+1</f>
        <v>52</v>
      </c>
      <c r="V15" s="37">
        <f t="shared" si="6"/>
        <v>4606</v>
      </c>
    </row>
    <row r="16" spans="2:22" x14ac:dyDescent="0.25">
      <c r="B16" s="28">
        <v>2019</v>
      </c>
      <c r="C16" s="29">
        <f>(53.4+7.3)*1000</f>
        <v>60699.999999999993</v>
      </c>
      <c r="D16" s="29">
        <f>95+4</f>
        <v>99</v>
      </c>
      <c r="E16" s="29">
        <f>4+120</f>
        <v>124</v>
      </c>
      <c r="F16" s="29">
        <f t="shared" si="7"/>
        <v>223</v>
      </c>
      <c r="G16" s="29">
        <f t="shared" ref="G16:G19" si="8">C16-C15</f>
        <v>1199.9999999999927</v>
      </c>
      <c r="H16" s="31">
        <f>C9-G16</f>
        <v>2691.0000000000073</v>
      </c>
      <c r="I16" s="29"/>
      <c r="J16" s="39"/>
      <c r="K16" s="40"/>
      <c r="L16" s="21"/>
      <c r="M16" s="40"/>
      <c r="N16" s="21"/>
      <c r="O16" s="29"/>
      <c r="P16" s="20"/>
      <c r="Q16" s="16"/>
      <c r="S16" s="28">
        <v>2018</v>
      </c>
      <c r="T16" s="29">
        <f>C8</f>
        <v>4154</v>
      </c>
      <c r="U16" s="21">
        <f>M10</f>
        <v>56</v>
      </c>
      <c r="V16" s="37">
        <f t="shared" si="6"/>
        <v>4098</v>
      </c>
    </row>
    <row r="17" spans="2:24" ht="15.75" thickBot="1" x14ac:dyDescent="0.3">
      <c r="B17" s="28">
        <v>2020</v>
      </c>
      <c r="C17" s="29">
        <f>(53.6+7.5)*1000</f>
        <v>61100</v>
      </c>
      <c r="D17" s="29">
        <f>166+4</f>
        <v>170</v>
      </c>
      <c r="E17" s="29">
        <f>3+152+2</f>
        <v>157</v>
      </c>
      <c r="F17" s="29">
        <f t="shared" si="7"/>
        <v>327</v>
      </c>
      <c r="G17" s="29">
        <f t="shared" si="8"/>
        <v>400.00000000000728</v>
      </c>
      <c r="H17" s="31">
        <f>C10-G17</f>
        <v>2075.9999999999927</v>
      </c>
      <c r="I17" s="29"/>
      <c r="J17" s="39"/>
      <c r="K17" s="40"/>
      <c r="L17" s="21"/>
      <c r="M17" s="40"/>
      <c r="N17" s="21"/>
      <c r="O17" s="29"/>
      <c r="P17" s="20"/>
      <c r="Q17" s="16"/>
      <c r="S17" s="33">
        <v>2019</v>
      </c>
      <c r="T17" s="35">
        <f t="shared" ref="T17" si="9">C9</f>
        <v>3891</v>
      </c>
      <c r="U17" s="34">
        <f t="shared" ref="U17" si="10">M11</f>
        <v>91</v>
      </c>
      <c r="V17" s="38">
        <f t="shared" ref="V17" si="11">T17-U17</f>
        <v>3800</v>
      </c>
    </row>
    <row r="18" spans="2:24" x14ac:dyDescent="0.25">
      <c r="B18" s="28">
        <v>2021</v>
      </c>
      <c r="C18" s="29">
        <f>(54.2+7.8)*1000</f>
        <v>62000</v>
      </c>
      <c r="D18" s="29">
        <f>350</f>
        <v>350</v>
      </c>
      <c r="E18" s="29">
        <f>13+276+2</f>
        <v>291</v>
      </c>
      <c r="F18" s="29">
        <f t="shared" si="7"/>
        <v>641</v>
      </c>
      <c r="G18" s="29">
        <f t="shared" si="8"/>
        <v>900</v>
      </c>
      <c r="H18" s="31">
        <f>C11-G18</f>
        <v>1559</v>
      </c>
      <c r="I18" s="29"/>
      <c r="J18" s="39"/>
      <c r="K18" s="40"/>
      <c r="L18" s="21"/>
      <c r="M18" s="40"/>
      <c r="N18" s="21"/>
      <c r="O18" s="29"/>
      <c r="P18" s="20"/>
      <c r="Q18" s="16"/>
      <c r="S18" s="29"/>
      <c r="T18" s="29"/>
      <c r="U18" s="21"/>
      <c r="V18" s="21"/>
    </row>
    <row r="19" spans="2:24" ht="15.75" thickBot="1" x14ac:dyDescent="0.3">
      <c r="B19" s="33">
        <v>2022</v>
      </c>
      <c r="C19" s="35">
        <f>(54.9+7.9)*1000</f>
        <v>62800</v>
      </c>
      <c r="D19" s="35">
        <f>555+6</f>
        <v>561</v>
      </c>
      <c r="E19" s="35">
        <f>10+389+2</f>
        <v>401</v>
      </c>
      <c r="F19" s="35">
        <f t="shared" si="7"/>
        <v>962</v>
      </c>
      <c r="G19" s="35">
        <f t="shared" si="8"/>
        <v>800</v>
      </c>
      <c r="H19" s="36">
        <f>C12-G19</f>
        <v>1476</v>
      </c>
      <c r="I19" s="29"/>
      <c r="J19" s="39"/>
      <c r="K19" s="40"/>
      <c r="L19" s="21"/>
      <c r="M19" s="40"/>
      <c r="N19" s="21"/>
      <c r="O19" s="29"/>
      <c r="P19" s="20"/>
      <c r="Q19" s="16"/>
    </row>
    <row r="20" spans="2:24" x14ac:dyDescent="0.25">
      <c r="C20" s="20"/>
      <c r="J20" s="29"/>
      <c r="K20" s="29"/>
      <c r="L20" s="29"/>
      <c r="M20" s="29"/>
      <c r="P20" s="20"/>
      <c r="Q20" s="16"/>
      <c r="R20" s="16"/>
    </row>
    <row r="21" spans="2:24" ht="15.75" thickBot="1" x14ac:dyDescent="0.3">
      <c r="C21" s="20"/>
      <c r="H21" s="55"/>
      <c r="I21" s="55"/>
      <c r="J21" s="55"/>
      <c r="P21" s="20"/>
      <c r="Q21" s="16"/>
      <c r="R21" s="16"/>
      <c r="X21" s="16"/>
    </row>
    <row r="22" spans="2:24" x14ac:dyDescent="0.25">
      <c r="B22" s="24"/>
      <c r="C22" s="25" t="s">
        <v>37</v>
      </c>
      <c r="D22" s="25" t="s">
        <v>38</v>
      </c>
      <c r="E22" s="25" t="s">
        <v>58</v>
      </c>
      <c r="F22" s="25" t="s">
        <v>39</v>
      </c>
      <c r="G22" s="25" t="s">
        <v>40</v>
      </c>
      <c r="H22" s="25" t="s">
        <v>41</v>
      </c>
      <c r="I22" s="25" t="s">
        <v>59</v>
      </c>
      <c r="J22" s="25" t="s">
        <v>46</v>
      </c>
      <c r="K22" s="25" t="s">
        <v>42</v>
      </c>
      <c r="L22" s="25" t="s">
        <v>43</v>
      </c>
      <c r="M22" s="63" t="s">
        <v>44</v>
      </c>
      <c r="N22" s="79" t="s">
        <v>45</v>
      </c>
      <c r="O22" s="27" t="s">
        <v>61</v>
      </c>
      <c r="P22" s="20"/>
      <c r="Q22" s="16"/>
      <c r="R22" s="16"/>
      <c r="X22" s="16"/>
    </row>
    <row r="23" spans="2:24" x14ac:dyDescent="0.25">
      <c r="B23" s="28">
        <v>2018</v>
      </c>
      <c r="C23" s="29">
        <v>59500</v>
      </c>
      <c r="D23" s="29">
        <f>C8</f>
        <v>4154</v>
      </c>
      <c r="E23" s="29" t="s">
        <v>57</v>
      </c>
      <c r="F23" s="21">
        <f>N8</f>
        <v>57</v>
      </c>
      <c r="G23" s="29">
        <f t="shared" ref="G23:G24" si="12">D23-F23</f>
        <v>4097</v>
      </c>
      <c r="H23" s="29">
        <f t="shared" ref="H23:H27" si="13">H15</f>
        <v>3254</v>
      </c>
      <c r="I23" s="29" t="s">
        <v>57</v>
      </c>
      <c r="J23" s="29" t="s">
        <v>57</v>
      </c>
      <c r="K23" s="29">
        <v>0</v>
      </c>
      <c r="L23" s="29">
        <f t="shared" ref="L23:L25" si="14">F15</f>
        <v>182</v>
      </c>
      <c r="M23" s="65">
        <f t="shared" ref="M23:M24" si="15">(L23/C23)*100</f>
        <v>0.30588235294117649</v>
      </c>
      <c r="N23" s="21">
        <f t="shared" ref="N23:N24" si="16">C23-L23</f>
        <v>59318</v>
      </c>
      <c r="O23" s="80">
        <f>K23+H23</f>
        <v>3254</v>
      </c>
      <c r="P23" s="20"/>
      <c r="Q23" s="16"/>
      <c r="R23" s="16"/>
      <c r="X23" s="16"/>
    </row>
    <row r="24" spans="2:24" x14ac:dyDescent="0.25">
      <c r="B24" s="28">
        <v>2019</v>
      </c>
      <c r="C24" s="29">
        <v>60700</v>
      </c>
      <c r="D24" s="29">
        <f>C9</f>
        <v>3891</v>
      </c>
      <c r="E24" s="29" t="s">
        <v>57</v>
      </c>
      <c r="F24" s="21">
        <f>N9</f>
        <v>69</v>
      </c>
      <c r="G24" s="29">
        <f t="shared" si="12"/>
        <v>3822</v>
      </c>
      <c r="H24" s="29">
        <f t="shared" si="13"/>
        <v>2691.0000000000073</v>
      </c>
      <c r="I24" s="29" t="s">
        <v>57</v>
      </c>
      <c r="J24" s="29" t="s">
        <v>57</v>
      </c>
      <c r="K24" s="29">
        <v>0</v>
      </c>
      <c r="L24" s="29">
        <f t="shared" si="14"/>
        <v>223</v>
      </c>
      <c r="M24" s="65">
        <f t="shared" si="15"/>
        <v>0.36738056013179571</v>
      </c>
      <c r="N24" s="21">
        <f t="shared" si="16"/>
        <v>60477</v>
      </c>
      <c r="O24" s="80">
        <f t="shared" ref="O24:O55" si="17">K24+H24</f>
        <v>2691.0000000000073</v>
      </c>
      <c r="P24" s="20"/>
      <c r="Q24" s="16"/>
      <c r="R24" s="16"/>
      <c r="X24" s="16"/>
    </row>
    <row r="25" spans="2:24" x14ac:dyDescent="0.25">
      <c r="B25" s="81">
        <v>2020</v>
      </c>
      <c r="C25" s="29">
        <f>C17</f>
        <v>61100</v>
      </c>
      <c r="D25" s="29">
        <f>C10</f>
        <v>2476</v>
      </c>
      <c r="E25" s="65">
        <v>8.4600491809611569</v>
      </c>
      <c r="F25" s="44">
        <f>D25*(E25/100)</f>
        <v>209.47081772059826</v>
      </c>
      <c r="G25" s="21">
        <f>D25-F25</f>
        <v>2266.5291822794015</v>
      </c>
      <c r="H25" s="29">
        <f t="shared" si="13"/>
        <v>2075.9999999999927</v>
      </c>
      <c r="I25" s="29" t="s">
        <v>57</v>
      </c>
      <c r="J25" s="29" t="s">
        <v>57</v>
      </c>
      <c r="K25" s="29">
        <v>0</v>
      </c>
      <c r="L25" s="29">
        <f t="shared" si="14"/>
        <v>327</v>
      </c>
      <c r="M25" s="65">
        <f>(L25/C25)*100</f>
        <v>0.5351882160392798</v>
      </c>
      <c r="N25" s="21">
        <f>C25-L25</f>
        <v>60773</v>
      </c>
      <c r="O25" s="80">
        <f t="shared" si="17"/>
        <v>2075.9999999999927</v>
      </c>
      <c r="P25" s="20"/>
      <c r="Q25" s="16"/>
      <c r="R25" s="16"/>
      <c r="X25" s="16"/>
    </row>
    <row r="26" spans="2:24" x14ac:dyDescent="0.25">
      <c r="B26" s="28">
        <v>2021</v>
      </c>
      <c r="C26" s="29">
        <f>(C25+D26)-(H26+K26)</f>
        <v>62000</v>
      </c>
      <c r="D26" s="29">
        <f>C11</f>
        <v>2459</v>
      </c>
      <c r="E26" s="65">
        <v>9.9904959413280157</v>
      </c>
      <c r="F26" s="21">
        <f t="shared" ref="F26:F55" si="18">D26*(E26/100)</f>
        <v>245.66629519725592</v>
      </c>
      <c r="G26" s="21">
        <f t="shared" ref="G26:G55" si="19">D26-F26</f>
        <v>2213.3337048027443</v>
      </c>
      <c r="H26" s="29">
        <f t="shared" si="13"/>
        <v>1559</v>
      </c>
      <c r="I26" s="29" t="s">
        <v>57</v>
      </c>
      <c r="J26" s="29" t="s">
        <v>57</v>
      </c>
      <c r="K26" s="29">
        <v>0</v>
      </c>
      <c r="L26" s="21">
        <f>L25+F26-K26</f>
        <v>572.66629519725598</v>
      </c>
      <c r="M26" s="65">
        <f t="shared" ref="M26:M55" si="20">(L26/C26)*100</f>
        <v>0.92365531483428376</v>
      </c>
      <c r="N26" s="21">
        <f t="shared" ref="N26:N55" si="21">C26-L26</f>
        <v>61427.333704802746</v>
      </c>
      <c r="O26" s="80">
        <f t="shared" si="17"/>
        <v>1559</v>
      </c>
      <c r="P26" s="20"/>
      <c r="Q26" s="16"/>
      <c r="R26" s="16"/>
      <c r="X26" s="16"/>
    </row>
    <row r="27" spans="2:24" x14ac:dyDescent="0.25">
      <c r="B27" s="28">
        <v>2022</v>
      </c>
      <c r="C27" s="29">
        <f t="shared" ref="C27" si="22">(C26+D27)-(H27+K27)</f>
        <v>62800</v>
      </c>
      <c r="D27" s="21">
        <f>C12</f>
        <v>2276</v>
      </c>
      <c r="E27" s="65">
        <v>13.018815084000579</v>
      </c>
      <c r="F27" s="21">
        <f t="shared" si="18"/>
        <v>296.30823131185321</v>
      </c>
      <c r="G27" s="21">
        <f t="shared" si="19"/>
        <v>1979.6917686881468</v>
      </c>
      <c r="H27" s="29">
        <f t="shared" si="13"/>
        <v>1476</v>
      </c>
      <c r="I27" s="29" t="s">
        <v>57</v>
      </c>
      <c r="J27" s="29" t="s">
        <v>57</v>
      </c>
      <c r="K27" s="29">
        <v>0</v>
      </c>
      <c r="L27" s="21">
        <f t="shared" ref="L27:L55" si="23">L26+F27-K27</f>
        <v>868.97452650910918</v>
      </c>
      <c r="M27" s="65">
        <f t="shared" si="20"/>
        <v>1.3837173988998555</v>
      </c>
      <c r="N27" s="21">
        <f t="shared" si="21"/>
        <v>61931.025473490889</v>
      </c>
      <c r="O27" s="80">
        <f t="shared" si="17"/>
        <v>1476</v>
      </c>
      <c r="P27" s="20"/>
      <c r="Q27" s="16"/>
      <c r="R27" s="16"/>
      <c r="X27" s="16"/>
    </row>
    <row r="28" spans="2:24" x14ac:dyDescent="0.25">
      <c r="B28" s="28">
        <v>2023</v>
      </c>
      <c r="C28" s="21">
        <f>C27+D28-H28-K28</f>
        <v>63029.320000000007</v>
      </c>
      <c r="D28" s="44">
        <f>(H28+K28)*1.09</f>
        <v>2777.32</v>
      </c>
      <c r="E28" s="65">
        <v>17.35972811602436</v>
      </c>
      <c r="F28" s="21">
        <f t="shared" si="18"/>
        <v>482.13520091196784</v>
      </c>
      <c r="G28" s="21">
        <f t="shared" si="19"/>
        <v>2295.1847990880324</v>
      </c>
      <c r="H28" s="44">
        <f>I28+J28</f>
        <v>2548</v>
      </c>
      <c r="I28" s="21">
        <f>V6</f>
        <v>2198</v>
      </c>
      <c r="J28" s="21">
        <v>350</v>
      </c>
      <c r="K28" s="29">
        <f>U6</f>
        <v>0</v>
      </c>
      <c r="L28" s="21">
        <f t="shared" si="23"/>
        <v>1351.109727421077</v>
      </c>
      <c r="M28" s="65">
        <f t="shared" si="20"/>
        <v>2.1436209805548856</v>
      </c>
      <c r="N28" s="21">
        <f t="shared" si="21"/>
        <v>61678.21027257893</v>
      </c>
      <c r="O28" s="80">
        <f t="shared" si="17"/>
        <v>2548</v>
      </c>
      <c r="P28" s="20"/>
      <c r="Q28" s="16"/>
      <c r="R28" s="16"/>
      <c r="X28" s="16"/>
    </row>
    <row r="29" spans="2:24" x14ac:dyDescent="0.25">
      <c r="B29" s="28">
        <v>2024</v>
      </c>
      <c r="C29" s="21">
        <f t="shared" ref="C29:C55" si="24">C28+D29-H29-K29</f>
        <v>63288.25</v>
      </c>
      <c r="D29" s="82">
        <f t="shared" ref="D29:D55" si="25">(H29+K29)*1.09</f>
        <v>3135.9300000000003</v>
      </c>
      <c r="E29" s="65">
        <v>22.898200503061233</v>
      </c>
      <c r="F29" s="21">
        <f t="shared" si="18"/>
        <v>718.07153903564824</v>
      </c>
      <c r="G29" s="21">
        <f t="shared" si="19"/>
        <v>2417.8584609643522</v>
      </c>
      <c r="H29" s="21">
        <f t="shared" ref="H29:H55" si="26">I29+J29</f>
        <v>2877</v>
      </c>
      <c r="I29" s="21">
        <f t="shared" ref="I29:I39" si="27">V7</f>
        <v>2527</v>
      </c>
      <c r="J29" s="21">
        <v>350</v>
      </c>
      <c r="K29" s="29">
        <f t="shared" ref="K29:K39" si="28">U7</f>
        <v>0</v>
      </c>
      <c r="L29" s="21">
        <f t="shared" si="23"/>
        <v>2069.1812664567251</v>
      </c>
      <c r="M29" s="65">
        <f t="shared" si="20"/>
        <v>3.2694556516521236</v>
      </c>
      <c r="N29" s="21">
        <f t="shared" si="21"/>
        <v>61219.068733543274</v>
      </c>
      <c r="O29" s="80">
        <f t="shared" si="17"/>
        <v>2877</v>
      </c>
      <c r="P29" s="20"/>
      <c r="Q29" s="16"/>
      <c r="R29" s="16"/>
      <c r="W29" s="16"/>
      <c r="X29" s="16"/>
    </row>
    <row r="30" spans="2:24" x14ac:dyDescent="0.25">
      <c r="B30" s="28">
        <v>2025</v>
      </c>
      <c r="C30" s="21">
        <f t="shared" si="24"/>
        <v>63579.22</v>
      </c>
      <c r="D30" s="82">
        <f t="shared" si="25"/>
        <v>3523.9700000000003</v>
      </c>
      <c r="E30" s="65">
        <v>29.552615776387757</v>
      </c>
      <c r="F30" s="21">
        <f t="shared" si="18"/>
        <v>1041.4253141751717</v>
      </c>
      <c r="G30" s="21">
        <f t="shared" si="19"/>
        <v>2482.5446858248288</v>
      </c>
      <c r="H30" s="21">
        <f t="shared" si="26"/>
        <v>3233</v>
      </c>
      <c r="I30" s="21">
        <f t="shared" si="27"/>
        <v>2883</v>
      </c>
      <c r="J30" s="21">
        <v>350</v>
      </c>
      <c r="K30" s="29">
        <f t="shared" si="28"/>
        <v>0</v>
      </c>
      <c r="L30" s="21">
        <f t="shared" si="23"/>
        <v>3110.6065806318966</v>
      </c>
      <c r="M30" s="65">
        <f t="shared" si="20"/>
        <v>4.8924893709483959</v>
      </c>
      <c r="N30" s="21">
        <f t="shared" si="21"/>
        <v>60468.613419368106</v>
      </c>
      <c r="O30" s="80">
        <f t="shared" si="17"/>
        <v>3233</v>
      </c>
      <c r="P30" s="20"/>
      <c r="Q30" s="16"/>
      <c r="R30" s="16"/>
      <c r="W30" s="16"/>
      <c r="X30" s="16"/>
    </row>
    <row r="31" spans="2:24" x14ac:dyDescent="0.25">
      <c r="B31" s="28">
        <v>2026</v>
      </c>
      <c r="C31" s="21">
        <f t="shared" si="24"/>
        <v>63890.619999999995</v>
      </c>
      <c r="D31" s="82">
        <f t="shared" si="25"/>
        <v>3771.4</v>
      </c>
      <c r="E31" s="65">
        <v>37.260666579465713</v>
      </c>
      <c r="F31" s="21">
        <f t="shared" si="18"/>
        <v>1405.2487793779699</v>
      </c>
      <c r="G31" s="21">
        <f t="shared" si="19"/>
        <v>2366.1512206220305</v>
      </c>
      <c r="H31" s="21">
        <f t="shared" si="26"/>
        <v>3460</v>
      </c>
      <c r="I31" s="21">
        <f t="shared" si="27"/>
        <v>3110</v>
      </c>
      <c r="J31" s="21">
        <v>350</v>
      </c>
      <c r="K31" s="29">
        <f t="shared" si="28"/>
        <v>0</v>
      </c>
      <c r="L31" s="21">
        <f t="shared" si="23"/>
        <v>4515.8553600098667</v>
      </c>
      <c r="M31" s="65">
        <f t="shared" si="20"/>
        <v>7.0681038312194602</v>
      </c>
      <c r="N31" s="21">
        <f t="shared" si="21"/>
        <v>59374.764639990128</v>
      </c>
      <c r="O31" s="80">
        <f t="shared" si="17"/>
        <v>3460</v>
      </c>
      <c r="P31" s="20"/>
      <c r="Q31" s="16"/>
      <c r="R31" s="16"/>
      <c r="V31" s="16"/>
      <c r="W31" s="16"/>
      <c r="X31" s="16"/>
    </row>
    <row r="32" spans="2:24" x14ac:dyDescent="0.25">
      <c r="B32" s="28">
        <v>2027</v>
      </c>
      <c r="C32" s="21">
        <f t="shared" si="24"/>
        <v>64229.56</v>
      </c>
      <c r="D32" s="82">
        <f t="shared" si="25"/>
        <v>4104.9400000000005</v>
      </c>
      <c r="E32" s="65">
        <v>45.972499534426575</v>
      </c>
      <c r="F32" s="21">
        <f t="shared" si="18"/>
        <v>1887.1435223884905</v>
      </c>
      <c r="G32" s="21">
        <f t="shared" si="19"/>
        <v>2217.79647761151</v>
      </c>
      <c r="H32" s="21">
        <f t="shared" si="26"/>
        <v>3764</v>
      </c>
      <c r="I32" s="21">
        <f t="shared" si="27"/>
        <v>3414</v>
      </c>
      <c r="J32" s="21">
        <v>350</v>
      </c>
      <c r="K32" s="29">
        <f>U10</f>
        <v>2</v>
      </c>
      <c r="L32" s="21">
        <f t="shared" si="23"/>
        <v>6400.9988823983567</v>
      </c>
      <c r="M32" s="65">
        <f t="shared" si="20"/>
        <v>9.9658146224236273</v>
      </c>
      <c r="N32" s="21">
        <f t="shared" si="21"/>
        <v>57828.561117601639</v>
      </c>
      <c r="O32" s="80">
        <f t="shared" si="17"/>
        <v>3766</v>
      </c>
      <c r="P32" s="20"/>
      <c r="Q32" s="16"/>
      <c r="R32" s="16"/>
      <c r="X32" s="16"/>
    </row>
    <row r="33" spans="2:18" x14ac:dyDescent="0.25">
      <c r="B33" s="28">
        <v>2028</v>
      </c>
      <c r="C33" s="21">
        <f t="shared" si="24"/>
        <v>64624.3</v>
      </c>
      <c r="D33" s="82">
        <f t="shared" si="25"/>
        <v>4780.7400000000007</v>
      </c>
      <c r="E33" s="65">
        <v>55.646894225986763</v>
      </c>
      <c r="F33" s="21">
        <f t="shared" si="18"/>
        <v>2660.3333310194403</v>
      </c>
      <c r="G33" s="21">
        <f t="shared" si="19"/>
        <v>2120.4066689805604</v>
      </c>
      <c r="H33" s="21">
        <f t="shared" si="26"/>
        <v>4372</v>
      </c>
      <c r="I33" s="21">
        <f t="shared" si="27"/>
        <v>4022</v>
      </c>
      <c r="J33" s="21">
        <v>350</v>
      </c>
      <c r="K33" s="29">
        <f t="shared" si="28"/>
        <v>14</v>
      </c>
      <c r="L33" s="21">
        <f t="shared" si="23"/>
        <v>9047.3322134177979</v>
      </c>
      <c r="M33" s="65">
        <f t="shared" si="20"/>
        <v>13.999892011855907</v>
      </c>
      <c r="N33" s="21">
        <f t="shared" si="21"/>
        <v>55576.967786582201</v>
      </c>
      <c r="O33" s="80">
        <f t="shared" si="17"/>
        <v>4386</v>
      </c>
      <c r="P33" s="20"/>
      <c r="Q33" s="16"/>
      <c r="R33" s="16"/>
    </row>
    <row r="34" spans="2:18" x14ac:dyDescent="0.25">
      <c r="B34" s="28">
        <v>2029</v>
      </c>
      <c r="C34" s="21">
        <f t="shared" si="24"/>
        <v>65070.430000000008</v>
      </c>
      <c r="D34" s="82">
        <f t="shared" si="25"/>
        <v>5403.13</v>
      </c>
      <c r="E34" s="65">
        <v>66.248929297625665</v>
      </c>
      <c r="F34" s="21">
        <f t="shared" si="18"/>
        <v>3579.5157735588018</v>
      </c>
      <c r="G34" s="21">
        <f t="shared" si="19"/>
        <v>1823.6142264411983</v>
      </c>
      <c r="H34" s="21">
        <f t="shared" si="26"/>
        <v>4936</v>
      </c>
      <c r="I34" s="21">
        <f t="shared" si="27"/>
        <v>4586</v>
      </c>
      <c r="J34" s="21">
        <v>350</v>
      </c>
      <c r="K34" s="29">
        <f t="shared" si="28"/>
        <v>21</v>
      </c>
      <c r="L34" s="21">
        <f t="shared" si="23"/>
        <v>12605.8479869766</v>
      </c>
      <c r="M34" s="65">
        <f t="shared" si="20"/>
        <v>19.372621307368952</v>
      </c>
      <c r="N34" s="21">
        <f t="shared" si="21"/>
        <v>52464.582013023406</v>
      </c>
      <c r="O34" s="80">
        <f t="shared" si="17"/>
        <v>4957</v>
      </c>
      <c r="P34" s="20"/>
      <c r="Q34" s="16"/>
      <c r="R34" s="16"/>
    </row>
    <row r="35" spans="2:18" x14ac:dyDescent="0.25">
      <c r="B35" s="28">
        <v>2030</v>
      </c>
      <c r="C35" s="21">
        <f t="shared" si="24"/>
        <v>65540.23000000001</v>
      </c>
      <c r="D35" s="82">
        <f t="shared" si="25"/>
        <v>5689.8</v>
      </c>
      <c r="E35" s="65">
        <v>77.748459730329472</v>
      </c>
      <c r="F35" s="21">
        <f t="shared" si="18"/>
        <v>4423.7318617362862</v>
      </c>
      <c r="G35" s="21">
        <f t="shared" si="19"/>
        <v>1266.068138263714</v>
      </c>
      <c r="H35" s="21">
        <f t="shared" si="26"/>
        <v>5187</v>
      </c>
      <c r="I35" s="21">
        <f t="shared" si="27"/>
        <v>4837</v>
      </c>
      <c r="J35" s="21">
        <v>350</v>
      </c>
      <c r="K35" s="29">
        <f t="shared" si="28"/>
        <v>33</v>
      </c>
      <c r="L35" s="21">
        <f t="shared" si="23"/>
        <v>16996.579848712885</v>
      </c>
      <c r="M35" s="65">
        <f t="shared" si="20"/>
        <v>25.933048829265449</v>
      </c>
      <c r="N35" s="21">
        <f t="shared" si="21"/>
        <v>48543.650151287125</v>
      </c>
      <c r="O35" s="80">
        <f t="shared" si="17"/>
        <v>5220</v>
      </c>
      <c r="P35" s="20"/>
      <c r="Q35" s="16"/>
      <c r="R35" s="16"/>
    </row>
    <row r="36" spans="2:18" x14ac:dyDescent="0.25">
      <c r="B36" s="28">
        <v>2031</v>
      </c>
      <c r="C36" s="21">
        <f t="shared" si="24"/>
        <v>66035.23000000001</v>
      </c>
      <c r="D36" s="82">
        <f t="shared" si="25"/>
        <v>5995</v>
      </c>
      <c r="E36" s="65">
        <v>90.119072443039585</v>
      </c>
      <c r="F36" s="21">
        <f t="shared" si="18"/>
        <v>5402.6383929602234</v>
      </c>
      <c r="G36" s="21">
        <f t="shared" si="19"/>
        <v>592.36160703977657</v>
      </c>
      <c r="H36" s="21">
        <f t="shared" si="26"/>
        <v>5464</v>
      </c>
      <c r="I36" s="21">
        <f t="shared" si="27"/>
        <v>5114</v>
      </c>
      <c r="J36" s="21">
        <v>350</v>
      </c>
      <c r="K36" s="29">
        <f t="shared" si="28"/>
        <v>36</v>
      </c>
      <c r="L36" s="21">
        <f t="shared" si="23"/>
        <v>22363.218241673108</v>
      </c>
      <c r="M36" s="65">
        <f t="shared" si="20"/>
        <v>33.865586962706281</v>
      </c>
      <c r="N36" s="21">
        <f t="shared" si="21"/>
        <v>43672.011758326902</v>
      </c>
      <c r="O36" s="80">
        <f t="shared" si="17"/>
        <v>5500</v>
      </c>
      <c r="P36" s="20"/>
      <c r="Q36" s="16"/>
      <c r="R36" s="16"/>
    </row>
    <row r="37" spans="2:18" x14ac:dyDescent="0.25">
      <c r="B37" s="28">
        <v>2032</v>
      </c>
      <c r="C37" s="21">
        <f t="shared" si="24"/>
        <v>66485.950000000012</v>
      </c>
      <c r="D37" s="82">
        <f t="shared" si="25"/>
        <v>5458.72</v>
      </c>
      <c r="E37" s="40">
        <v>100</v>
      </c>
      <c r="F37" s="21">
        <f t="shared" si="18"/>
        <v>5458.72</v>
      </c>
      <c r="G37" s="21">
        <f t="shared" si="19"/>
        <v>0</v>
      </c>
      <c r="H37" s="21">
        <f t="shared" si="26"/>
        <v>4956</v>
      </c>
      <c r="I37" s="21">
        <f t="shared" si="27"/>
        <v>4606</v>
      </c>
      <c r="J37" s="21">
        <v>350</v>
      </c>
      <c r="K37" s="29">
        <f t="shared" si="28"/>
        <v>52</v>
      </c>
      <c r="L37" s="21">
        <f t="shared" si="23"/>
        <v>27769.93824167311</v>
      </c>
      <c r="M37" s="65">
        <f t="shared" si="20"/>
        <v>41.768130321779424</v>
      </c>
      <c r="N37" s="21">
        <f t="shared" si="21"/>
        <v>38716.011758326902</v>
      </c>
      <c r="O37" s="80">
        <f t="shared" si="17"/>
        <v>5008</v>
      </c>
      <c r="P37" s="20"/>
      <c r="Q37" s="16"/>
      <c r="R37" s="16"/>
    </row>
    <row r="38" spans="2:18" x14ac:dyDescent="0.25">
      <c r="B38" s="28">
        <v>2033</v>
      </c>
      <c r="C38" s="21">
        <f t="shared" si="24"/>
        <v>66891.310000000012</v>
      </c>
      <c r="D38" s="82">
        <f t="shared" si="25"/>
        <v>4909.3600000000006</v>
      </c>
      <c r="E38" s="40">
        <v>100</v>
      </c>
      <c r="F38" s="21">
        <f t="shared" si="18"/>
        <v>4909.3600000000006</v>
      </c>
      <c r="G38" s="21">
        <f t="shared" si="19"/>
        <v>0</v>
      </c>
      <c r="H38" s="21">
        <f t="shared" si="26"/>
        <v>4448</v>
      </c>
      <c r="I38" s="21">
        <f t="shared" si="27"/>
        <v>4098</v>
      </c>
      <c r="J38" s="21">
        <v>350</v>
      </c>
      <c r="K38" s="29">
        <f t="shared" si="28"/>
        <v>56</v>
      </c>
      <c r="L38" s="21">
        <f t="shared" si="23"/>
        <v>32623.29824167311</v>
      </c>
      <c r="M38" s="65">
        <f t="shared" si="20"/>
        <v>48.770607484997832</v>
      </c>
      <c r="N38" s="21">
        <f t="shared" si="21"/>
        <v>34268.011758326902</v>
      </c>
      <c r="O38" s="80">
        <f t="shared" si="17"/>
        <v>4504</v>
      </c>
      <c r="P38" s="20"/>
      <c r="Q38" s="16"/>
      <c r="R38" s="16"/>
    </row>
    <row r="39" spans="2:18" x14ac:dyDescent="0.25">
      <c r="B39" s="28">
        <v>2034</v>
      </c>
      <c r="C39" s="21">
        <f t="shared" si="24"/>
        <v>67273.000000000015</v>
      </c>
      <c r="D39" s="82">
        <f t="shared" si="25"/>
        <v>4622.6900000000005</v>
      </c>
      <c r="E39" s="40">
        <v>100</v>
      </c>
      <c r="F39" s="21">
        <f t="shared" si="18"/>
        <v>4622.6900000000005</v>
      </c>
      <c r="G39" s="21">
        <f t="shared" si="19"/>
        <v>0</v>
      </c>
      <c r="H39" s="21">
        <f t="shared" si="26"/>
        <v>4150</v>
      </c>
      <c r="I39" s="21">
        <f t="shared" si="27"/>
        <v>3800</v>
      </c>
      <c r="J39" s="21">
        <v>350</v>
      </c>
      <c r="K39" s="29">
        <f t="shared" si="28"/>
        <v>91</v>
      </c>
      <c r="L39" s="21">
        <f t="shared" si="23"/>
        <v>37154.988241673112</v>
      </c>
      <c r="M39" s="65">
        <f t="shared" si="20"/>
        <v>55.230164020741014</v>
      </c>
      <c r="N39" s="21">
        <f t="shared" si="21"/>
        <v>30118.011758326902</v>
      </c>
      <c r="O39" s="80">
        <f t="shared" si="17"/>
        <v>4241</v>
      </c>
      <c r="P39" s="20"/>
      <c r="Q39" s="16"/>
      <c r="R39" s="16"/>
    </row>
    <row r="40" spans="2:18" x14ac:dyDescent="0.25">
      <c r="B40" s="28">
        <v>2035</v>
      </c>
      <c r="C40" s="21">
        <f t="shared" si="24"/>
        <v>67527.340000000011</v>
      </c>
      <c r="D40" s="82">
        <f>(H40+K40)*1.09</f>
        <v>3080.34</v>
      </c>
      <c r="E40" s="40">
        <v>100</v>
      </c>
      <c r="F40" s="21">
        <f t="shared" si="18"/>
        <v>3080.34</v>
      </c>
      <c r="G40" s="21">
        <f t="shared" si="19"/>
        <v>0</v>
      </c>
      <c r="H40" s="21">
        <f t="shared" si="26"/>
        <v>2616.5291822794015</v>
      </c>
      <c r="I40" s="21">
        <f>G25</f>
        <v>2266.5291822794015</v>
      </c>
      <c r="J40" s="21">
        <v>350</v>
      </c>
      <c r="K40" s="21">
        <f>F25</f>
        <v>209.47081772059826</v>
      </c>
      <c r="L40" s="21">
        <f t="shared" si="23"/>
        <v>40025.857423952511</v>
      </c>
      <c r="M40" s="65">
        <f t="shared" si="20"/>
        <v>59.2735585674669</v>
      </c>
      <c r="N40" s="21">
        <f t="shared" si="21"/>
        <v>27501.4825760475</v>
      </c>
      <c r="O40" s="80">
        <f t="shared" si="17"/>
        <v>2826</v>
      </c>
      <c r="P40" s="20"/>
      <c r="Q40" s="16"/>
      <c r="R40" s="16"/>
    </row>
    <row r="41" spans="2:18" x14ac:dyDescent="0.25">
      <c r="B41" s="28">
        <v>2036</v>
      </c>
      <c r="C41" s="21">
        <f t="shared" si="24"/>
        <v>67780.150000000009</v>
      </c>
      <c r="D41" s="82">
        <f t="shared" si="25"/>
        <v>3061.8100000000004</v>
      </c>
      <c r="E41" s="40">
        <v>100</v>
      </c>
      <c r="F41" s="21">
        <f t="shared" si="18"/>
        <v>3061.8100000000004</v>
      </c>
      <c r="G41" s="21">
        <f t="shared" si="19"/>
        <v>0</v>
      </c>
      <c r="H41" s="21">
        <f t="shared" si="26"/>
        <v>2563.3337048027443</v>
      </c>
      <c r="I41" s="21">
        <f>G26</f>
        <v>2213.3337048027443</v>
      </c>
      <c r="J41" s="21">
        <v>350</v>
      </c>
      <c r="K41" s="21">
        <f t="shared" ref="K41:K55" si="29">F26</f>
        <v>245.66629519725592</v>
      </c>
      <c r="L41" s="21">
        <f t="shared" si="23"/>
        <v>42842.001128755255</v>
      </c>
      <c r="M41" s="65">
        <f t="shared" si="20"/>
        <v>63.207297606681678</v>
      </c>
      <c r="N41" s="21">
        <f t="shared" si="21"/>
        <v>24938.148871244754</v>
      </c>
      <c r="O41" s="80">
        <f t="shared" si="17"/>
        <v>2809</v>
      </c>
      <c r="P41" s="20"/>
      <c r="Q41" s="16"/>
      <c r="R41" s="16"/>
    </row>
    <row r="42" spans="2:18" x14ac:dyDescent="0.25">
      <c r="B42" s="28">
        <v>2037</v>
      </c>
      <c r="C42" s="21">
        <f t="shared" si="24"/>
        <v>68016.490000000005</v>
      </c>
      <c r="D42" s="82">
        <f t="shared" si="25"/>
        <v>2862.34</v>
      </c>
      <c r="E42" s="40">
        <v>100</v>
      </c>
      <c r="F42" s="21">
        <f t="shared" si="18"/>
        <v>2862.34</v>
      </c>
      <c r="G42" s="21">
        <f t="shared" si="19"/>
        <v>0</v>
      </c>
      <c r="H42" s="21">
        <f t="shared" si="26"/>
        <v>2329.691768688147</v>
      </c>
      <c r="I42" s="21">
        <f t="shared" ref="I42:I55" si="30">G27</f>
        <v>1979.6917686881468</v>
      </c>
      <c r="J42" s="21">
        <v>350</v>
      </c>
      <c r="K42" s="21">
        <f t="shared" si="29"/>
        <v>296.30823131185321</v>
      </c>
      <c r="L42" s="21">
        <f t="shared" si="23"/>
        <v>45408.032897443409</v>
      </c>
      <c r="M42" s="65">
        <f t="shared" si="20"/>
        <v>66.760329586903708</v>
      </c>
      <c r="N42" s="21">
        <f t="shared" si="21"/>
        <v>22608.457102556597</v>
      </c>
      <c r="O42" s="80">
        <f t="shared" si="17"/>
        <v>2626</v>
      </c>
      <c r="P42" s="20"/>
      <c r="Q42" s="16"/>
      <c r="R42" s="16"/>
    </row>
    <row r="43" spans="2:18" x14ac:dyDescent="0.25">
      <c r="B43" s="28">
        <v>2038</v>
      </c>
      <c r="C43" s="21">
        <f t="shared" si="24"/>
        <v>68297.948799999998</v>
      </c>
      <c r="D43" s="82">
        <f t="shared" si="25"/>
        <v>3408.7788000000005</v>
      </c>
      <c r="E43" s="40">
        <v>100</v>
      </c>
      <c r="F43" s="21">
        <f t="shared" si="18"/>
        <v>3408.7788000000005</v>
      </c>
      <c r="G43" s="21">
        <f t="shared" si="19"/>
        <v>0</v>
      </c>
      <c r="H43" s="21">
        <f t="shared" si="26"/>
        <v>2645.1847990880324</v>
      </c>
      <c r="I43" s="21">
        <f t="shared" si="30"/>
        <v>2295.1847990880324</v>
      </c>
      <c r="J43" s="21">
        <v>350</v>
      </c>
      <c r="K43" s="21">
        <f t="shared" si="29"/>
        <v>482.13520091196784</v>
      </c>
      <c r="L43" s="21">
        <f t="shared" si="23"/>
        <v>48334.676496531443</v>
      </c>
      <c r="M43" s="65">
        <f t="shared" si="20"/>
        <v>70.770319381145825</v>
      </c>
      <c r="N43" s="21">
        <f t="shared" si="21"/>
        <v>19963.272303468555</v>
      </c>
      <c r="O43" s="80">
        <f t="shared" si="17"/>
        <v>3127.32</v>
      </c>
      <c r="P43" s="20"/>
      <c r="Q43" s="16"/>
      <c r="R43" s="16"/>
    </row>
    <row r="44" spans="2:18" x14ac:dyDescent="0.25">
      <c r="B44" s="28">
        <v>2039</v>
      </c>
      <c r="C44" s="21">
        <f t="shared" si="24"/>
        <v>68611.682499999995</v>
      </c>
      <c r="D44" s="82">
        <f t="shared" si="25"/>
        <v>3799.6637000000005</v>
      </c>
      <c r="E44" s="40">
        <v>100</v>
      </c>
      <c r="F44" s="21">
        <f t="shared" si="18"/>
        <v>3799.6637000000005</v>
      </c>
      <c r="G44" s="21">
        <f t="shared" si="19"/>
        <v>0</v>
      </c>
      <c r="H44" s="21">
        <f t="shared" si="26"/>
        <v>2767.8584609643522</v>
      </c>
      <c r="I44" s="21">
        <f t="shared" si="30"/>
        <v>2417.8584609643522</v>
      </c>
      <c r="J44" s="21">
        <v>350</v>
      </c>
      <c r="K44" s="21">
        <f t="shared" si="29"/>
        <v>718.07153903564824</v>
      </c>
      <c r="L44" s="21">
        <f t="shared" si="23"/>
        <v>51416.268657495792</v>
      </c>
      <c r="M44" s="65">
        <f t="shared" si="20"/>
        <v>74.938067081354248</v>
      </c>
      <c r="N44" s="21">
        <f t="shared" si="21"/>
        <v>17195.413842504204</v>
      </c>
      <c r="O44" s="80">
        <f t="shared" si="17"/>
        <v>3485.9300000000003</v>
      </c>
      <c r="P44" s="20"/>
      <c r="Q44" s="16"/>
      <c r="R44" s="16"/>
    </row>
    <row r="45" spans="2:18" x14ac:dyDescent="0.25">
      <c r="B45" s="28">
        <v>2040</v>
      </c>
      <c r="C45" s="21">
        <f t="shared" si="24"/>
        <v>68960.339800000002</v>
      </c>
      <c r="D45" s="82">
        <f t="shared" si="25"/>
        <v>4222.627300000001</v>
      </c>
      <c r="E45" s="40">
        <v>100</v>
      </c>
      <c r="F45" s="21">
        <f t="shared" si="18"/>
        <v>4222.627300000001</v>
      </c>
      <c r="G45" s="21">
        <f t="shared" si="19"/>
        <v>0</v>
      </c>
      <c r="H45" s="21">
        <f t="shared" si="26"/>
        <v>2832.5446858248288</v>
      </c>
      <c r="I45" s="21">
        <f t="shared" si="30"/>
        <v>2482.5446858248288</v>
      </c>
      <c r="J45" s="21">
        <v>350</v>
      </c>
      <c r="K45" s="21">
        <f t="shared" si="29"/>
        <v>1041.4253141751717</v>
      </c>
      <c r="L45" s="21">
        <f t="shared" si="23"/>
        <v>54597.470643320623</v>
      </c>
      <c r="M45" s="65">
        <f t="shared" si="20"/>
        <v>79.172276125183217</v>
      </c>
      <c r="N45" s="21">
        <f t="shared" si="21"/>
        <v>14362.869156679379</v>
      </c>
      <c r="O45" s="80">
        <f t="shared" si="17"/>
        <v>3873.9700000000003</v>
      </c>
      <c r="P45" s="20"/>
      <c r="Q45" s="16"/>
      <c r="R45" s="16"/>
    </row>
    <row r="46" spans="2:18" x14ac:dyDescent="0.25">
      <c r="B46" s="28">
        <v>2041</v>
      </c>
      <c r="C46" s="82">
        <f t="shared" si="24"/>
        <v>69331.265799999994</v>
      </c>
      <c r="D46" s="82">
        <f t="shared" si="25"/>
        <v>4492.3260000000009</v>
      </c>
      <c r="E46" s="40">
        <v>100</v>
      </c>
      <c r="F46" s="21">
        <f t="shared" si="18"/>
        <v>4492.3260000000009</v>
      </c>
      <c r="G46" s="21">
        <f t="shared" si="19"/>
        <v>0</v>
      </c>
      <c r="H46" s="21">
        <f t="shared" si="26"/>
        <v>2716.1512206220305</v>
      </c>
      <c r="I46" s="21">
        <f t="shared" si="30"/>
        <v>2366.1512206220305</v>
      </c>
      <c r="J46" s="21">
        <v>350</v>
      </c>
      <c r="K46" s="21">
        <f t="shared" si="29"/>
        <v>1405.2487793779699</v>
      </c>
      <c r="L46" s="21">
        <f t="shared" si="23"/>
        <v>57684.547863942651</v>
      </c>
      <c r="M46" s="65">
        <f t="shared" si="20"/>
        <v>83.201348191659079</v>
      </c>
      <c r="N46" s="21">
        <f t="shared" si="21"/>
        <v>11646.717936057343</v>
      </c>
      <c r="O46" s="80">
        <f t="shared" si="17"/>
        <v>4121.4000000000005</v>
      </c>
      <c r="P46" s="20"/>
      <c r="Q46" s="16"/>
      <c r="R46" s="16"/>
    </row>
    <row r="47" spans="2:18" x14ac:dyDescent="0.25">
      <c r="B47" s="28">
        <v>2042</v>
      </c>
      <c r="C47" s="21">
        <f t="shared" si="24"/>
        <v>69732.210399999996</v>
      </c>
      <c r="D47" s="82">
        <f t="shared" si="25"/>
        <v>4855.8846000000012</v>
      </c>
      <c r="E47" s="40">
        <v>100</v>
      </c>
      <c r="F47" s="21">
        <f t="shared" si="18"/>
        <v>4855.8846000000012</v>
      </c>
      <c r="G47" s="21">
        <f t="shared" si="19"/>
        <v>0</v>
      </c>
      <c r="H47" s="21">
        <f t="shared" si="26"/>
        <v>2567.79647761151</v>
      </c>
      <c r="I47" s="21">
        <f t="shared" si="30"/>
        <v>2217.79647761151</v>
      </c>
      <c r="J47" s="21">
        <v>350</v>
      </c>
      <c r="K47" s="21">
        <f t="shared" si="29"/>
        <v>1887.1435223884905</v>
      </c>
      <c r="L47" s="21">
        <f t="shared" si="23"/>
        <v>60653.288941554158</v>
      </c>
      <c r="M47" s="65">
        <f t="shared" si="20"/>
        <v>86.980304501510773</v>
      </c>
      <c r="N47" s="21">
        <f t="shared" si="21"/>
        <v>9078.9214584458387</v>
      </c>
      <c r="O47" s="80">
        <f t="shared" si="17"/>
        <v>4454.9400000000005</v>
      </c>
      <c r="P47" s="20"/>
      <c r="Q47" s="16"/>
      <c r="R47" s="16"/>
    </row>
    <row r="48" spans="2:18" x14ac:dyDescent="0.25">
      <c r="B48" s="28">
        <v>2043</v>
      </c>
      <c r="C48" s="21">
        <f t="shared" si="24"/>
        <v>70193.976999999999</v>
      </c>
      <c r="D48" s="82">
        <f t="shared" si="25"/>
        <v>5592.5066000000015</v>
      </c>
      <c r="E48" s="40">
        <v>100</v>
      </c>
      <c r="F48" s="21">
        <f t="shared" si="18"/>
        <v>5592.5066000000015</v>
      </c>
      <c r="G48" s="21">
        <f t="shared" si="19"/>
        <v>0</v>
      </c>
      <c r="H48" s="21">
        <f t="shared" si="26"/>
        <v>2470.4066689805604</v>
      </c>
      <c r="I48" s="21">
        <f t="shared" si="30"/>
        <v>2120.4066689805604</v>
      </c>
      <c r="J48" s="21">
        <v>350</v>
      </c>
      <c r="K48" s="21">
        <f t="shared" si="29"/>
        <v>2660.3333310194403</v>
      </c>
      <c r="L48" s="21">
        <f t="shared" si="23"/>
        <v>63585.462210534723</v>
      </c>
      <c r="M48" s="65">
        <f t="shared" si="20"/>
        <v>90.585353513357319</v>
      </c>
      <c r="N48" s="21">
        <f t="shared" si="21"/>
        <v>6608.5147894652764</v>
      </c>
      <c r="O48" s="80">
        <f t="shared" si="17"/>
        <v>5130.7400000000007</v>
      </c>
      <c r="P48" s="20"/>
      <c r="Q48" s="16"/>
      <c r="R48" s="16"/>
    </row>
    <row r="49" spans="2:22" x14ac:dyDescent="0.25">
      <c r="B49" s="28">
        <v>2044</v>
      </c>
      <c r="C49" s="21">
        <f t="shared" si="24"/>
        <v>70711.758699999991</v>
      </c>
      <c r="D49" s="82">
        <f t="shared" si="25"/>
        <v>6270.9117000000006</v>
      </c>
      <c r="E49" s="40">
        <v>100</v>
      </c>
      <c r="F49" s="21">
        <f t="shared" si="18"/>
        <v>6270.9117000000006</v>
      </c>
      <c r="G49" s="21">
        <f t="shared" si="19"/>
        <v>0</v>
      </c>
      <c r="H49" s="21">
        <f t="shared" si="26"/>
        <v>2173.6142264411983</v>
      </c>
      <c r="I49" s="21">
        <f t="shared" si="30"/>
        <v>1823.6142264411983</v>
      </c>
      <c r="J49" s="21">
        <v>350</v>
      </c>
      <c r="K49" s="21">
        <f t="shared" si="29"/>
        <v>3579.5157735588018</v>
      </c>
      <c r="L49" s="21">
        <f t="shared" si="23"/>
        <v>66276.858136975919</v>
      </c>
      <c r="M49" s="65">
        <f t="shared" si="20"/>
        <v>93.728199319946953</v>
      </c>
      <c r="N49" s="21">
        <f t="shared" si="21"/>
        <v>4434.9005630240717</v>
      </c>
      <c r="O49" s="80">
        <f t="shared" si="17"/>
        <v>5753.13</v>
      </c>
      <c r="P49" s="20"/>
      <c r="Q49" s="16"/>
      <c r="R49" s="16"/>
    </row>
    <row r="50" spans="2:22" x14ac:dyDescent="0.25">
      <c r="B50" s="28">
        <v>2045</v>
      </c>
      <c r="C50" s="21">
        <f t="shared" si="24"/>
        <v>71255.340699999986</v>
      </c>
      <c r="D50" s="82">
        <f t="shared" si="25"/>
        <v>6583.3820000000005</v>
      </c>
      <c r="E50" s="40">
        <v>100</v>
      </c>
      <c r="F50" s="21">
        <f t="shared" si="18"/>
        <v>6583.3820000000005</v>
      </c>
      <c r="G50" s="21">
        <f t="shared" si="19"/>
        <v>0</v>
      </c>
      <c r="H50" s="21">
        <f t="shared" si="26"/>
        <v>1616.068138263714</v>
      </c>
      <c r="I50" s="21">
        <f t="shared" si="30"/>
        <v>1266.068138263714</v>
      </c>
      <c r="J50" s="21">
        <v>350</v>
      </c>
      <c r="K50" s="21">
        <f t="shared" si="29"/>
        <v>4423.7318617362862</v>
      </c>
      <c r="L50" s="21">
        <f t="shared" si="23"/>
        <v>68436.508275239627</v>
      </c>
      <c r="M50" s="65">
        <f t="shared" si="20"/>
        <v>96.044040492868817</v>
      </c>
      <c r="N50" s="21">
        <f t="shared" si="21"/>
        <v>2818.8324247603596</v>
      </c>
      <c r="O50" s="80">
        <f t="shared" si="17"/>
        <v>6039.8</v>
      </c>
      <c r="P50" s="20"/>
      <c r="Q50" s="16"/>
      <c r="R50" s="16"/>
    </row>
    <row r="51" spans="2:22" x14ac:dyDescent="0.25">
      <c r="B51" s="28">
        <v>2046</v>
      </c>
      <c r="C51" s="21">
        <f t="shared" si="24"/>
        <v>71826.390699999989</v>
      </c>
      <c r="D51" s="82">
        <f t="shared" si="25"/>
        <v>6916.05</v>
      </c>
      <c r="E51" s="40">
        <v>100</v>
      </c>
      <c r="F51" s="21">
        <f t="shared" si="18"/>
        <v>6916.05</v>
      </c>
      <c r="G51" s="21">
        <f t="shared" si="19"/>
        <v>0</v>
      </c>
      <c r="H51" s="21">
        <f t="shared" si="26"/>
        <v>942.36160703977657</v>
      </c>
      <c r="I51" s="21">
        <f t="shared" si="30"/>
        <v>592.36160703977657</v>
      </c>
      <c r="J51" s="21">
        <v>350</v>
      </c>
      <c r="K51" s="21">
        <f t="shared" si="29"/>
        <v>5402.6383929602234</v>
      </c>
      <c r="L51" s="21">
        <f t="shared" si="23"/>
        <v>69949.919882279413</v>
      </c>
      <c r="M51" s="65">
        <f t="shared" si="20"/>
        <v>97.387491144364887</v>
      </c>
      <c r="N51" s="21">
        <f t="shared" si="21"/>
        <v>1876.4708177205757</v>
      </c>
      <c r="O51" s="80">
        <f t="shared" si="17"/>
        <v>6345</v>
      </c>
      <c r="P51" s="20"/>
      <c r="Q51" s="16"/>
      <c r="R51" s="16"/>
      <c r="V51" s="16"/>
    </row>
    <row r="52" spans="2:22" x14ac:dyDescent="0.25">
      <c r="B52" s="28">
        <v>2047</v>
      </c>
      <c r="C52" s="21">
        <f t="shared" si="24"/>
        <v>72349.175499999983</v>
      </c>
      <c r="D52" s="82">
        <f t="shared" si="25"/>
        <v>6331.5048000000006</v>
      </c>
      <c r="E52" s="40">
        <v>100</v>
      </c>
      <c r="F52" s="21">
        <f t="shared" si="18"/>
        <v>6331.5048000000006</v>
      </c>
      <c r="G52" s="21">
        <f t="shared" si="19"/>
        <v>0</v>
      </c>
      <c r="H52" s="21">
        <f t="shared" si="26"/>
        <v>350</v>
      </c>
      <c r="I52" s="21">
        <f t="shared" si="30"/>
        <v>0</v>
      </c>
      <c r="J52" s="21">
        <v>350</v>
      </c>
      <c r="K52" s="21">
        <f t="shared" si="29"/>
        <v>5458.72</v>
      </c>
      <c r="L52" s="21">
        <f t="shared" si="23"/>
        <v>70822.704682279407</v>
      </c>
      <c r="M52" s="65">
        <f t="shared" si="20"/>
        <v>97.890133775303951</v>
      </c>
      <c r="N52" s="21">
        <f t="shared" si="21"/>
        <v>1526.4708177205757</v>
      </c>
      <c r="O52" s="80">
        <f t="shared" si="17"/>
        <v>5808.72</v>
      </c>
      <c r="P52" s="20"/>
      <c r="Q52" s="16"/>
      <c r="R52" s="16"/>
    </row>
    <row r="53" spans="2:22" x14ac:dyDescent="0.25">
      <c r="B53" s="28">
        <v>2048</v>
      </c>
      <c r="C53" s="21">
        <f t="shared" si="24"/>
        <v>72822.517899999977</v>
      </c>
      <c r="D53" s="82">
        <f t="shared" si="25"/>
        <v>5732.702400000001</v>
      </c>
      <c r="E53" s="40">
        <v>100</v>
      </c>
      <c r="F53" s="21">
        <f t="shared" si="18"/>
        <v>5732.702400000001</v>
      </c>
      <c r="G53" s="21">
        <f t="shared" si="19"/>
        <v>0</v>
      </c>
      <c r="H53" s="21">
        <f t="shared" si="26"/>
        <v>350</v>
      </c>
      <c r="I53" s="21">
        <f t="shared" si="30"/>
        <v>0</v>
      </c>
      <c r="J53" s="21">
        <v>350</v>
      </c>
      <c r="K53" s="21">
        <f t="shared" si="29"/>
        <v>4909.3600000000006</v>
      </c>
      <c r="L53" s="21">
        <f t="shared" si="23"/>
        <v>71646.047082279401</v>
      </c>
      <c r="M53" s="65">
        <f t="shared" si="20"/>
        <v>98.384468359998053</v>
      </c>
      <c r="N53" s="21">
        <f t="shared" si="21"/>
        <v>1176.4708177205757</v>
      </c>
      <c r="O53" s="80">
        <f t="shared" si="17"/>
        <v>5259.3600000000006</v>
      </c>
      <c r="P53" s="20"/>
      <c r="Q53" s="16"/>
      <c r="R53" s="16"/>
    </row>
    <row r="54" spans="2:22" x14ac:dyDescent="0.25">
      <c r="B54" s="28">
        <v>2049</v>
      </c>
      <c r="C54" s="21">
        <f t="shared" si="24"/>
        <v>73270.059999999969</v>
      </c>
      <c r="D54" s="82">
        <f t="shared" si="25"/>
        <v>5420.2321000000011</v>
      </c>
      <c r="E54" s="40">
        <v>100</v>
      </c>
      <c r="F54" s="21">
        <f t="shared" si="18"/>
        <v>5420.2321000000011</v>
      </c>
      <c r="G54" s="21">
        <f t="shared" si="19"/>
        <v>0</v>
      </c>
      <c r="H54" s="21">
        <f t="shared" si="26"/>
        <v>350</v>
      </c>
      <c r="I54" s="21">
        <f t="shared" si="30"/>
        <v>0</v>
      </c>
      <c r="J54" s="21">
        <v>350</v>
      </c>
      <c r="K54" s="21">
        <f t="shared" si="29"/>
        <v>4622.6900000000005</v>
      </c>
      <c r="L54" s="21">
        <f t="shared" si="23"/>
        <v>72443.589182279393</v>
      </c>
      <c r="M54" s="65">
        <f t="shared" si="20"/>
        <v>98.872021098767249</v>
      </c>
      <c r="N54" s="21">
        <f t="shared" si="21"/>
        <v>826.47081772057572</v>
      </c>
      <c r="O54" s="80">
        <f t="shared" si="17"/>
        <v>4972.6900000000005</v>
      </c>
      <c r="P54" s="20" t="s">
        <v>60</v>
      </c>
      <c r="Q54" s="16"/>
      <c r="R54" s="16"/>
    </row>
    <row r="55" spans="2:22" ht="15.75" thickBot="1" x14ac:dyDescent="0.3">
      <c r="B55" s="33">
        <v>2050</v>
      </c>
      <c r="C55" s="34">
        <f t="shared" si="24"/>
        <v>73578.790599999978</v>
      </c>
      <c r="D55" s="83">
        <f t="shared" si="25"/>
        <v>3739.0706000000005</v>
      </c>
      <c r="E55" s="84">
        <v>100</v>
      </c>
      <c r="F55" s="34">
        <f t="shared" si="18"/>
        <v>3739.0706000000005</v>
      </c>
      <c r="G55" s="34">
        <f t="shared" si="19"/>
        <v>0</v>
      </c>
      <c r="H55" s="34">
        <f t="shared" si="26"/>
        <v>350</v>
      </c>
      <c r="I55" s="34">
        <f t="shared" si="30"/>
        <v>0</v>
      </c>
      <c r="J55" s="34">
        <v>350</v>
      </c>
      <c r="K55" s="34">
        <f t="shared" si="29"/>
        <v>3080.34</v>
      </c>
      <c r="L55" s="34">
        <f t="shared" si="23"/>
        <v>73102.319782279403</v>
      </c>
      <c r="M55" s="67">
        <f t="shared" si="20"/>
        <v>99.352434561868733</v>
      </c>
      <c r="N55" s="34">
        <f t="shared" si="21"/>
        <v>476.47081772057572</v>
      </c>
      <c r="O55" s="85">
        <f t="shared" si="17"/>
        <v>3430.34</v>
      </c>
      <c r="P55" s="20"/>
      <c r="Q55" s="16"/>
      <c r="R55" s="16"/>
    </row>
    <row r="56" spans="2:22" x14ac:dyDescent="0.25">
      <c r="G56" s="16"/>
      <c r="H56" s="16"/>
      <c r="I56" s="16"/>
      <c r="J56" s="16"/>
      <c r="K56" s="21"/>
      <c r="L56" s="16"/>
      <c r="M56" s="21"/>
      <c r="N56" s="16"/>
      <c r="O56" s="16"/>
      <c r="P56" s="20"/>
      <c r="Q56" s="16"/>
      <c r="R56" s="16"/>
    </row>
    <row r="57" spans="2:22" x14ac:dyDescent="0.25">
      <c r="G57" s="16"/>
      <c r="H57" s="16"/>
      <c r="I57" s="16"/>
      <c r="J57" s="16"/>
      <c r="K57" s="21"/>
      <c r="L57" s="16"/>
      <c r="M57" s="21"/>
      <c r="N57" s="16"/>
      <c r="O57" s="16"/>
      <c r="P57" s="20"/>
      <c r="Q57" s="16"/>
      <c r="R57" s="16"/>
    </row>
    <row r="58" spans="2:22" x14ac:dyDescent="0.25">
      <c r="G58" s="16"/>
      <c r="H58" s="16"/>
      <c r="I58" s="16"/>
      <c r="J58" s="16"/>
      <c r="K58" s="21"/>
      <c r="L58" s="16"/>
      <c r="M58" s="21"/>
      <c r="N58" s="16"/>
      <c r="O58" s="16"/>
      <c r="P58" s="20"/>
      <c r="Q58" s="16"/>
      <c r="R58" s="16"/>
    </row>
    <row r="59" spans="2:22" x14ac:dyDescent="0.25">
      <c r="H59" s="16"/>
      <c r="M59" s="21"/>
    </row>
    <row r="60" spans="2:22" x14ac:dyDescent="0.25">
      <c r="H60" s="45"/>
    </row>
    <row r="61" spans="2:22" x14ac:dyDescent="0.25">
      <c r="H61" s="16"/>
    </row>
    <row r="62" spans="2:22" x14ac:dyDescent="0.25">
      <c r="H62" s="16"/>
    </row>
    <row r="63" spans="2:22" x14ac:dyDescent="0.25">
      <c r="H63" s="16"/>
    </row>
    <row r="64" spans="2:22" x14ac:dyDescent="0.25">
      <c r="H64" s="16"/>
    </row>
    <row r="65" spans="2:8" x14ac:dyDescent="0.25">
      <c r="H65" s="16"/>
    </row>
    <row r="66" spans="2:8" x14ac:dyDescent="0.25">
      <c r="C66" s="43"/>
      <c r="D66" s="43"/>
      <c r="E66" s="43"/>
      <c r="F66" s="43"/>
      <c r="H66" s="16"/>
    </row>
    <row r="67" spans="2:8" x14ac:dyDescent="0.25">
      <c r="C67" s="43"/>
      <c r="D67" s="43"/>
      <c r="E67" s="43"/>
      <c r="F67" s="43"/>
      <c r="H67" s="16"/>
    </row>
    <row r="68" spans="2:8" x14ac:dyDescent="0.25">
      <c r="C68" s="43"/>
      <c r="D68" s="43"/>
      <c r="E68" s="43"/>
      <c r="F68" s="43"/>
      <c r="H68" s="16"/>
    </row>
    <row r="69" spans="2:8" x14ac:dyDescent="0.25">
      <c r="C69" s="43"/>
      <c r="D69" s="43"/>
      <c r="E69" s="43"/>
      <c r="F69" s="43"/>
      <c r="H69" s="16"/>
    </row>
    <row r="70" spans="2:8" x14ac:dyDescent="0.25">
      <c r="H70" s="16"/>
    </row>
    <row r="71" spans="2:8" x14ac:dyDescent="0.25">
      <c r="H71" s="16"/>
    </row>
    <row r="72" spans="2:8" x14ac:dyDescent="0.25">
      <c r="H72" s="16"/>
    </row>
    <row r="73" spans="2:8" x14ac:dyDescent="0.25">
      <c r="C73" t="s">
        <v>72</v>
      </c>
      <c r="D73" t="s">
        <v>73</v>
      </c>
      <c r="E73" t="s">
        <v>74</v>
      </c>
    </row>
    <row r="74" spans="2:8" x14ac:dyDescent="0.25">
      <c r="B74" t="s">
        <v>68</v>
      </c>
      <c r="C74" s="48">
        <f>70/390</f>
        <v>0.17948717948717949</v>
      </c>
      <c r="D74" s="48">
        <f>90/480</f>
        <v>0.1875</v>
      </c>
      <c r="E74" s="48">
        <f>130/620</f>
        <v>0.20967741935483872</v>
      </c>
    </row>
    <row r="75" spans="2:8" x14ac:dyDescent="0.25">
      <c r="B75" t="s">
        <v>69</v>
      </c>
      <c r="C75" s="48">
        <f>300/390</f>
        <v>0.76923076923076927</v>
      </c>
      <c r="D75" s="48">
        <f>370/480</f>
        <v>0.77083333333333337</v>
      </c>
      <c r="E75" s="48">
        <f>475/620</f>
        <v>0.7661290322580645</v>
      </c>
    </row>
    <row r="76" spans="2:8" x14ac:dyDescent="0.25">
      <c r="B76" t="s">
        <v>70</v>
      </c>
      <c r="C76" s="48">
        <f>15/390</f>
        <v>3.8461538461538464E-2</v>
      </c>
      <c r="D76" s="48">
        <f>16/480</f>
        <v>3.3333333333333333E-2</v>
      </c>
      <c r="E76" s="48">
        <f>18/620</f>
        <v>2.903225806451613E-2</v>
      </c>
    </row>
    <row r="77" spans="2:8" x14ac:dyDescent="0.25">
      <c r="B77" t="s">
        <v>71</v>
      </c>
      <c r="C77" s="47">
        <f>17.8/0.39</f>
        <v>45.641025641025642</v>
      </c>
      <c r="D77" s="47">
        <f>17.8/0.48</f>
        <v>37.083333333333336</v>
      </c>
      <c r="E77" s="47">
        <f>17.8/0.62</f>
        <v>28.70967741935484</v>
      </c>
    </row>
  </sheetData>
  <mergeCells count="7">
    <mergeCell ref="H21:J21"/>
    <mergeCell ref="F6:G6"/>
    <mergeCell ref="I6:J6"/>
    <mergeCell ref="K6:L6"/>
    <mergeCell ref="D5:H5"/>
    <mergeCell ref="J5:M5"/>
    <mergeCell ref="D6:E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558D-8B6D-4D19-92EF-CE5DA66CEF3D}">
  <dimension ref="B2:X66"/>
  <sheetViews>
    <sheetView zoomScale="70" zoomScaleNormal="70" workbookViewId="0">
      <selection activeCell="C2" sqref="C2"/>
    </sheetView>
  </sheetViews>
  <sheetFormatPr defaultRowHeight="15" x14ac:dyDescent="0.25"/>
  <cols>
    <col min="2" max="2" width="60" customWidth="1"/>
    <col min="4" max="4" width="10.5703125" customWidth="1"/>
    <col min="5" max="5" width="11.42578125" customWidth="1"/>
    <col min="6" max="6" width="14.5703125" customWidth="1"/>
    <col min="7" max="7" width="16.140625" customWidth="1"/>
    <col min="8" max="8" width="14.42578125" customWidth="1"/>
    <col min="10" max="10" width="19.5703125" customWidth="1"/>
    <col min="14" max="14" width="14.28515625" customWidth="1"/>
    <col min="22" max="22" width="17.42578125" customWidth="1"/>
    <col min="23" max="23" width="14.85546875" customWidth="1"/>
    <col min="24" max="24" width="16" customWidth="1"/>
  </cols>
  <sheetData>
    <row r="2" spans="2:24" x14ac:dyDescent="0.25">
      <c r="C2" t="s">
        <v>108</v>
      </c>
    </row>
    <row r="3" spans="2:24" ht="15.75" thickBot="1" x14ac:dyDescent="0.3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</row>
    <row r="4" spans="2:24" x14ac:dyDescent="0.25">
      <c r="B4" t="s">
        <v>19</v>
      </c>
      <c r="C4" s="2">
        <v>119</v>
      </c>
      <c r="D4" s="2">
        <v>117</v>
      </c>
      <c r="E4" s="3">
        <v>111</v>
      </c>
      <c r="F4" s="3">
        <v>110</v>
      </c>
      <c r="G4" s="3">
        <v>110</v>
      </c>
      <c r="H4" s="2">
        <v>103</v>
      </c>
      <c r="I4" s="2">
        <v>106</v>
      </c>
      <c r="J4" s="2">
        <v>117</v>
      </c>
      <c r="K4" s="2">
        <v>123</v>
      </c>
      <c r="L4" s="4">
        <v>133</v>
      </c>
      <c r="M4" s="4">
        <v>125</v>
      </c>
      <c r="N4" s="4">
        <v>123</v>
      </c>
      <c r="O4" s="4">
        <v>133</v>
      </c>
      <c r="P4" s="4">
        <v>148</v>
      </c>
      <c r="Q4" s="5">
        <v>149</v>
      </c>
      <c r="R4" s="5">
        <v>149</v>
      </c>
      <c r="S4" s="5">
        <v>139</v>
      </c>
    </row>
    <row r="5" spans="2:24" x14ac:dyDescent="0.25">
      <c r="B5" t="s">
        <v>20</v>
      </c>
      <c r="C5" s="5">
        <v>14</v>
      </c>
      <c r="D5" s="5">
        <v>16</v>
      </c>
      <c r="E5" s="5">
        <v>19</v>
      </c>
      <c r="F5" s="2">
        <v>20</v>
      </c>
      <c r="G5" s="2">
        <v>19</v>
      </c>
      <c r="H5" s="2">
        <v>18</v>
      </c>
      <c r="I5" s="2">
        <v>19</v>
      </c>
      <c r="J5" s="2">
        <v>23</v>
      </c>
      <c r="K5" s="2">
        <v>26</v>
      </c>
      <c r="L5" s="2">
        <v>32</v>
      </c>
      <c r="M5" s="2">
        <v>32</v>
      </c>
      <c r="N5" s="2">
        <v>31</v>
      </c>
      <c r="O5" s="3">
        <v>34</v>
      </c>
      <c r="P5" s="3">
        <v>37</v>
      </c>
      <c r="Q5" s="3">
        <v>40</v>
      </c>
      <c r="R5" s="6">
        <v>42</v>
      </c>
      <c r="S5" s="59">
        <v>41</v>
      </c>
    </row>
    <row r="6" spans="2:24" x14ac:dyDescent="0.25">
      <c r="B6" t="s">
        <v>21</v>
      </c>
      <c r="C6" s="7">
        <v>25.679481231320334</v>
      </c>
      <c r="D6" s="7">
        <v>25.247893311466214</v>
      </c>
      <c r="E6" s="8">
        <v>23.9531295519038</v>
      </c>
      <c r="F6" s="8">
        <v>23.738769940000001</v>
      </c>
      <c r="G6" s="8">
        <v>23.738769943264298</v>
      </c>
      <c r="H6" s="9">
        <v>22.228120950000001</v>
      </c>
      <c r="I6" s="9">
        <v>22.875541945327456</v>
      </c>
      <c r="J6" s="7">
        <v>25.114517908583199</v>
      </c>
      <c r="K6" s="7">
        <v>26.402441903895099</v>
      </c>
      <c r="L6" s="7">
        <v>28.548981896081699</v>
      </c>
      <c r="M6" s="7">
        <v>26.831749902332401</v>
      </c>
      <c r="N6" s="7">
        <v>26.402441903895099</v>
      </c>
      <c r="O6" s="9">
        <v>28.548981896081699</v>
      </c>
      <c r="P6" s="9">
        <v>31.414701659999999</v>
      </c>
      <c r="Q6" s="10">
        <v>31.626963153526599</v>
      </c>
      <c r="R6" s="11">
        <v>31.626963153526599</v>
      </c>
      <c r="S6" s="10">
        <v>29.504348176779899</v>
      </c>
    </row>
    <row r="7" spans="2:24" x14ac:dyDescent="0.25">
      <c r="B7" t="s">
        <v>22</v>
      </c>
      <c r="C7" s="7">
        <v>3.021115438978863</v>
      </c>
      <c r="D7" s="7">
        <v>3.4527033588329861</v>
      </c>
      <c r="E7" s="8">
        <v>4.1000852386141702</v>
      </c>
      <c r="F7" s="8">
        <v>4.3161399899999999</v>
      </c>
      <c r="G7" s="8">
        <v>4.1003329902001999</v>
      </c>
      <c r="H7" s="9">
        <v>3.8845259909999998</v>
      </c>
      <c r="I7" s="9">
        <v>4.1003329902002035</v>
      </c>
      <c r="J7" s="7">
        <v>4.9370419820291698</v>
      </c>
      <c r="K7" s="7">
        <v>5.5810039796851498</v>
      </c>
      <c r="L7" s="7">
        <v>6.8689279749971002</v>
      </c>
      <c r="M7" s="7">
        <v>6.8689279749971002</v>
      </c>
      <c r="N7" s="7">
        <v>6.6542739757784402</v>
      </c>
      <c r="O7" s="9">
        <v>7.2982359734344202</v>
      </c>
      <c r="P7" s="9">
        <v>7.8536754139999996</v>
      </c>
      <c r="Q7" s="10">
        <v>8.4904599069870095</v>
      </c>
      <c r="R7" s="12">
        <v>8.9149829023363605</v>
      </c>
      <c r="S7">
        <v>8.6999999999999993</v>
      </c>
    </row>
    <row r="8" spans="2:24" x14ac:dyDescent="0.25">
      <c r="B8" t="s">
        <v>23</v>
      </c>
      <c r="C8">
        <f>C5/C4*100</f>
        <v>11.76470588235294</v>
      </c>
      <c r="D8">
        <f t="shared" ref="D8:S8" si="0">D5/D4*100</f>
        <v>13.675213675213676</v>
      </c>
      <c r="E8">
        <f t="shared" si="0"/>
        <v>17.117117117117118</v>
      </c>
      <c r="F8">
        <f t="shared" si="0"/>
        <v>18.181818181818183</v>
      </c>
      <c r="G8">
        <f t="shared" si="0"/>
        <v>17.272727272727273</v>
      </c>
      <c r="H8">
        <f t="shared" si="0"/>
        <v>17.475728155339805</v>
      </c>
      <c r="I8">
        <f t="shared" si="0"/>
        <v>17.924528301886792</v>
      </c>
      <c r="J8">
        <f t="shared" si="0"/>
        <v>19.658119658119659</v>
      </c>
      <c r="K8">
        <f t="shared" si="0"/>
        <v>21.138211382113823</v>
      </c>
      <c r="L8">
        <f t="shared" si="0"/>
        <v>24.060150375939848</v>
      </c>
      <c r="M8">
        <f t="shared" si="0"/>
        <v>25.6</v>
      </c>
      <c r="N8">
        <f t="shared" si="0"/>
        <v>25.203252032520325</v>
      </c>
      <c r="O8">
        <f t="shared" si="0"/>
        <v>25.563909774436087</v>
      </c>
      <c r="P8">
        <f t="shared" si="0"/>
        <v>25</v>
      </c>
      <c r="Q8">
        <f t="shared" si="0"/>
        <v>26.845637583892618</v>
      </c>
      <c r="R8">
        <f t="shared" si="0"/>
        <v>28.187919463087248</v>
      </c>
      <c r="S8">
        <f t="shared" si="0"/>
        <v>29.496402877697843</v>
      </c>
    </row>
    <row r="9" spans="2:24" x14ac:dyDescent="0.25">
      <c r="X9" s="23"/>
    </row>
    <row r="10" spans="2:24" x14ac:dyDescent="0.25">
      <c r="D10" s="22" t="s">
        <v>84</v>
      </c>
      <c r="F10" s="22"/>
      <c r="V10" s="43"/>
      <c r="X10" s="43"/>
    </row>
    <row r="11" spans="2:24" x14ac:dyDescent="0.25">
      <c r="V11" s="43"/>
    </row>
    <row r="12" spans="2:24" x14ac:dyDescent="0.25">
      <c r="D12" s="60" t="s">
        <v>82</v>
      </c>
      <c r="E12" s="60" t="s">
        <v>43</v>
      </c>
      <c r="F12" s="60" t="s">
        <v>83</v>
      </c>
      <c r="G12" s="60" t="s">
        <v>48</v>
      </c>
      <c r="H12" s="60" t="s">
        <v>107</v>
      </c>
      <c r="I12" s="60" t="s">
        <v>48</v>
      </c>
      <c r="J12" s="60" t="s">
        <v>85</v>
      </c>
      <c r="V12" s="43"/>
    </row>
    <row r="13" spans="2:24" x14ac:dyDescent="0.25">
      <c r="D13" s="60">
        <v>2018</v>
      </c>
      <c r="E13" s="60">
        <v>658</v>
      </c>
      <c r="F13" s="60" t="s">
        <v>57</v>
      </c>
      <c r="G13" s="60"/>
      <c r="H13" s="60" t="s">
        <v>57</v>
      </c>
      <c r="I13" s="60"/>
      <c r="J13" s="60"/>
      <c r="V13" s="43"/>
    </row>
    <row r="14" spans="2:24" x14ac:dyDescent="0.25">
      <c r="D14" s="60">
        <v>2019</v>
      </c>
      <c r="E14" s="60">
        <v>1019</v>
      </c>
      <c r="F14" s="77">
        <v>119</v>
      </c>
      <c r="G14" s="60">
        <f>(E14)/F14</f>
        <v>8.5630252100840334</v>
      </c>
      <c r="H14" s="77">
        <v>119</v>
      </c>
      <c r="I14" s="60">
        <f>(E14)/H14</f>
        <v>8.5630252100840334</v>
      </c>
      <c r="J14" s="60"/>
      <c r="V14" s="43"/>
    </row>
    <row r="15" spans="2:24" x14ac:dyDescent="0.25">
      <c r="B15" t="s">
        <v>86</v>
      </c>
      <c r="D15" s="60">
        <v>2020</v>
      </c>
      <c r="E15" s="60">
        <v>1737</v>
      </c>
      <c r="F15" s="77">
        <f>G4</f>
        <v>110</v>
      </c>
      <c r="G15" s="60">
        <f>(E15)/F15</f>
        <v>15.790909090909091</v>
      </c>
      <c r="H15" s="77">
        <f>F15</f>
        <v>110</v>
      </c>
      <c r="I15" s="60">
        <f>(E15)/H15</f>
        <v>15.790909090909091</v>
      </c>
      <c r="J15" s="77">
        <f>H15-H14</f>
        <v>-9</v>
      </c>
    </row>
    <row r="16" spans="2:24" x14ac:dyDescent="0.25">
      <c r="B16" t="s">
        <v>87</v>
      </c>
      <c r="D16" s="60">
        <v>2021</v>
      </c>
      <c r="E16" s="77">
        <v>2457.9137511106828</v>
      </c>
      <c r="F16" s="77">
        <f>K4</f>
        <v>123</v>
      </c>
      <c r="G16" s="60">
        <f t="shared" ref="G16:G45" si="1">(E16)/F16</f>
        <v>19.98303862691612</v>
      </c>
      <c r="H16" s="77">
        <f t="shared" ref="H16:H18" si="2">F16</f>
        <v>123</v>
      </c>
      <c r="I16" s="60">
        <f t="shared" ref="I16:I45" si="3">(E16)/H16</f>
        <v>19.98303862691612</v>
      </c>
      <c r="J16" s="77">
        <f t="shared" ref="J16:J45" si="4">H16-H15</f>
        <v>13</v>
      </c>
    </row>
    <row r="17" spans="2:10" x14ac:dyDescent="0.25">
      <c r="B17" t="s">
        <v>88</v>
      </c>
      <c r="D17" s="60">
        <v>2022</v>
      </c>
      <c r="E17" s="77">
        <v>3390.7340072351399</v>
      </c>
      <c r="F17" s="77">
        <f>O4</f>
        <v>133</v>
      </c>
      <c r="G17" s="60">
        <f t="shared" si="1"/>
        <v>25.494240655903308</v>
      </c>
      <c r="H17" s="77">
        <f t="shared" si="2"/>
        <v>133</v>
      </c>
      <c r="I17" s="60">
        <f t="shared" si="3"/>
        <v>25.494240655903308</v>
      </c>
      <c r="J17" s="77">
        <f t="shared" si="4"/>
        <v>10</v>
      </c>
    </row>
    <row r="18" spans="2:10" x14ac:dyDescent="0.25">
      <c r="D18" s="60">
        <v>2023</v>
      </c>
      <c r="E18" s="77">
        <v>5378.6409885808962</v>
      </c>
      <c r="F18" s="77">
        <f>S4</f>
        <v>139</v>
      </c>
      <c r="G18" s="60">
        <f t="shared" si="1"/>
        <v>38.695258910653926</v>
      </c>
      <c r="H18" s="77">
        <f t="shared" si="2"/>
        <v>139</v>
      </c>
      <c r="I18" s="60">
        <f t="shared" si="3"/>
        <v>38.695258910653926</v>
      </c>
      <c r="J18" s="77">
        <f t="shared" si="4"/>
        <v>6</v>
      </c>
    </row>
    <row r="19" spans="2:10" x14ac:dyDescent="0.25">
      <c r="D19" s="60">
        <v>2024</v>
      </c>
      <c r="E19" s="62">
        <v>8105.6374414502989</v>
      </c>
      <c r="F19" s="77">
        <f>F18*1.085</f>
        <v>150.815</v>
      </c>
      <c r="G19" s="60">
        <f t="shared" si="1"/>
        <v>53.745565371152068</v>
      </c>
      <c r="H19" s="77">
        <f>H18*1.38</f>
        <v>191.82</v>
      </c>
      <c r="I19" s="60">
        <f t="shared" si="3"/>
        <v>42.256477121521733</v>
      </c>
      <c r="J19" s="77">
        <f t="shared" si="4"/>
        <v>52.819999999999993</v>
      </c>
    </row>
    <row r="20" spans="2:10" x14ac:dyDescent="0.25">
      <c r="B20" t="s">
        <v>89</v>
      </c>
      <c r="D20" s="60">
        <v>2025</v>
      </c>
      <c r="E20" s="62">
        <v>11709.119770258108</v>
      </c>
      <c r="F20" s="77">
        <f t="shared" ref="F20:F45" si="5">F19*1.085</f>
        <v>163.634275</v>
      </c>
      <c r="G20" s="60">
        <f t="shared" si="1"/>
        <v>71.556645270424596</v>
      </c>
      <c r="H20" s="77">
        <f>H19*1.38</f>
        <v>264.71159999999998</v>
      </c>
      <c r="I20" s="60">
        <f t="shared" si="3"/>
        <v>44.233497021883849</v>
      </c>
      <c r="J20" s="77">
        <f t="shared" si="4"/>
        <v>72.891599999999983</v>
      </c>
    </row>
    <row r="21" spans="2:10" x14ac:dyDescent="0.25">
      <c r="B21" t="s">
        <v>90</v>
      </c>
      <c r="D21" s="60">
        <v>2026</v>
      </c>
      <c r="E21" s="62">
        <v>15866.032981596261</v>
      </c>
      <c r="F21" s="77">
        <f t="shared" si="5"/>
        <v>177.543188375</v>
      </c>
      <c r="G21" s="60">
        <f t="shared" si="1"/>
        <v>89.364357634969508</v>
      </c>
      <c r="H21" s="77">
        <f t="shared" ref="H21:H25" si="6">H20*1.38</f>
        <v>365.30200799999994</v>
      </c>
      <c r="I21" s="60">
        <f t="shared" si="3"/>
        <v>43.432646506548259</v>
      </c>
      <c r="J21" s="77">
        <f t="shared" si="4"/>
        <v>100.59040799999997</v>
      </c>
    </row>
    <row r="22" spans="2:10" x14ac:dyDescent="0.25">
      <c r="B22" t="s">
        <v>91</v>
      </c>
      <c r="D22" s="60">
        <v>2027</v>
      </c>
      <c r="E22" s="62">
        <v>20917.922333404793</v>
      </c>
      <c r="F22" s="77">
        <f t="shared" si="5"/>
        <v>192.63435938687499</v>
      </c>
      <c r="G22" s="60">
        <f t="shared" si="1"/>
        <v>108.58873982805179</v>
      </c>
      <c r="H22" s="77">
        <f t="shared" si="6"/>
        <v>504.11677103999989</v>
      </c>
      <c r="I22" s="60">
        <f t="shared" si="3"/>
        <v>41.494200421562702</v>
      </c>
      <c r="J22" s="77">
        <f t="shared" si="4"/>
        <v>138.81476303999995</v>
      </c>
    </row>
    <row r="23" spans="2:10" x14ac:dyDescent="0.25">
      <c r="D23" s="60">
        <v>2028</v>
      </c>
      <c r="E23" s="62">
        <v>27208.372349470385</v>
      </c>
      <c r="F23" s="77">
        <f t="shared" si="5"/>
        <v>209.00827993475937</v>
      </c>
      <c r="G23" s="60">
        <f t="shared" si="1"/>
        <v>130.17844249023679</v>
      </c>
      <c r="H23" s="77">
        <f t="shared" si="6"/>
        <v>695.68114403519985</v>
      </c>
      <c r="I23" s="60">
        <f t="shared" si="3"/>
        <v>39.110406517060497</v>
      </c>
      <c r="J23" s="77">
        <f t="shared" si="4"/>
        <v>191.56437299519996</v>
      </c>
    </row>
    <row r="24" spans="2:10" x14ac:dyDescent="0.25">
      <c r="D24" s="60">
        <v>2029</v>
      </c>
      <c r="E24" s="62">
        <v>35040.068553527679</v>
      </c>
      <c r="F24" s="77">
        <f t="shared" si="5"/>
        <v>226.77398372921391</v>
      </c>
      <c r="G24" s="60">
        <f t="shared" si="1"/>
        <v>154.51538125011859</v>
      </c>
      <c r="H24" s="77">
        <f t="shared" si="6"/>
        <v>960.03997876857568</v>
      </c>
      <c r="I24" s="60">
        <f t="shared" si="3"/>
        <v>36.498551444152234</v>
      </c>
      <c r="J24" s="77">
        <f t="shared" si="4"/>
        <v>264.35883473337583</v>
      </c>
    </row>
    <row r="25" spans="2:10" x14ac:dyDescent="0.25">
      <c r="D25" s="60">
        <v>2030</v>
      </c>
      <c r="E25" s="62">
        <v>44604.550835484719</v>
      </c>
      <c r="F25" s="77">
        <f t="shared" si="5"/>
        <v>246.04977234619707</v>
      </c>
      <c r="G25" s="60">
        <f t="shared" si="1"/>
        <v>181.28263403847089</v>
      </c>
      <c r="H25" s="77">
        <f t="shared" si="6"/>
        <v>1324.8551707006343</v>
      </c>
      <c r="I25" s="78">
        <f t="shared" si="3"/>
        <v>33.667491980950736</v>
      </c>
      <c r="J25" s="77">
        <f t="shared" si="4"/>
        <v>364.81519193205861</v>
      </c>
    </row>
    <row r="26" spans="2:10" x14ac:dyDescent="0.25">
      <c r="D26" s="60">
        <v>2031</v>
      </c>
      <c r="E26" s="62">
        <v>55781.953735629344</v>
      </c>
      <c r="F26" s="77">
        <f t="shared" si="5"/>
        <v>266.96400299562384</v>
      </c>
      <c r="G26" s="60">
        <f t="shared" si="1"/>
        <v>208.9493456409692</v>
      </c>
      <c r="H26" s="77">
        <f>H25+(500)</f>
        <v>1824.8551707006343</v>
      </c>
      <c r="I26" s="60">
        <f t="shared" si="3"/>
        <v>30.567879923431097</v>
      </c>
      <c r="J26" s="77">
        <f t="shared" si="4"/>
        <v>500</v>
      </c>
    </row>
    <row r="27" spans="2:10" x14ac:dyDescent="0.25">
      <c r="D27" s="60">
        <v>2032</v>
      </c>
      <c r="E27" s="62">
        <v>67506.157324580214</v>
      </c>
      <c r="F27" s="77">
        <f t="shared" si="5"/>
        <v>289.65594325025188</v>
      </c>
      <c r="G27" s="60">
        <f t="shared" si="1"/>
        <v>233.05635150133074</v>
      </c>
      <c r="H27" s="77">
        <f t="shared" ref="H27:H40" si="7">H26+(500)</f>
        <v>2324.8551707006345</v>
      </c>
      <c r="I27" s="60">
        <f t="shared" si="3"/>
        <v>29.036715136210436</v>
      </c>
      <c r="J27" s="77">
        <f t="shared" si="4"/>
        <v>500.00000000000023</v>
      </c>
    </row>
    <row r="28" spans="2:10" x14ac:dyDescent="0.25">
      <c r="D28" s="60">
        <v>2033</v>
      </c>
      <c r="E28" s="62">
        <v>79409.863320409466</v>
      </c>
      <c r="F28" s="77">
        <f t="shared" si="5"/>
        <v>314.2766984265233</v>
      </c>
      <c r="G28" s="60">
        <f t="shared" si="1"/>
        <v>252.67499537187354</v>
      </c>
      <c r="H28" s="77">
        <f t="shared" si="7"/>
        <v>2824.8551707006345</v>
      </c>
      <c r="I28" s="60">
        <f t="shared" si="3"/>
        <v>28.111127304524373</v>
      </c>
      <c r="J28" s="77">
        <f t="shared" si="4"/>
        <v>500</v>
      </c>
    </row>
    <row r="29" spans="2:10" x14ac:dyDescent="0.25">
      <c r="D29" s="60">
        <v>2034</v>
      </c>
      <c r="E29" s="62">
        <v>90823.230780708633</v>
      </c>
      <c r="F29" s="77">
        <f t="shared" si="5"/>
        <v>340.99021779277774</v>
      </c>
      <c r="G29" s="60">
        <f t="shared" si="1"/>
        <v>266.35142605733802</v>
      </c>
      <c r="H29" s="77">
        <f t="shared" si="7"/>
        <v>3324.8551707006345</v>
      </c>
      <c r="I29" s="60">
        <f t="shared" si="3"/>
        <v>27.316447218833229</v>
      </c>
      <c r="J29" s="77">
        <f t="shared" si="4"/>
        <v>500</v>
      </c>
    </row>
    <row r="30" spans="2:10" x14ac:dyDescent="0.25">
      <c r="D30" s="60">
        <v>2035</v>
      </c>
      <c r="E30" s="62">
        <v>98423.986280708632</v>
      </c>
      <c r="F30" s="77">
        <f t="shared" si="5"/>
        <v>369.97438630516382</v>
      </c>
      <c r="G30" s="60">
        <f t="shared" si="1"/>
        <v>266.02918992215353</v>
      </c>
      <c r="H30" s="77">
        <f t="shared" si="7"/>
        <v>3824.8551707006345</v>
      </c>
      <c r="I30" s="60">
        <f t="shared" si="3"/>
        <v>25.732735460066948</v>
      </c>
      <c r="J30" s="77">
        <f t="shared" si="4"/>
        <v>500</v>
      </c>
    </row>
    <row r="31" spans="2:10" x14ac:dyDescent="0.25">
      <c r="D31" s="60">
        <v>2036</v>
      </c>
      <c r="E31" s="62">
        <v>105789.14052959795</v>
      </c>
      <c r="F31" s="77">
        <f t="shared" si="5"/>
        <v>401.42220914110271</v>
      </c>
      <c r="G31" s="60">
        <f t="shared" si="1"/>
        <v>263.53584360952067</v>
      </c>
      <c r="H31" s="77">
        <f t="shared" si="7"/>
        <v>4324.8551707006345</v>
      </c>
      <c r="I31" s="60">
        <f t="shared" si="3"/>
        <v>24.46073599094878</v>
      </c>
      <c r="J31" s="77">
        <f t="shared" si="4"/>
        <v>500</v>
      </c>
    </row>
    <row r="32" spans="2:10" x14ac:dyDescent="0.25">
      <c r="D32" s="60">
        <v>2037</v>
      </c>
      <c r="E32" s="62">
        <v>112701.3322734735</v>
      </c>
      <c r="F32" s="77">
        <f t="shared" si="5"/>
        <v>435.54309691809641</v>
      </c>
      <c r="G32" s="60">
        <f t="shared" si="1"/>
        <v>258.76046037911811</v>
      </c>
      <c r="H32" s="77">
        <f t="shared" si="7"/>
        <v>4824.8551707006345</v>
      </c>
      <c r="I32" s="60">
        <f t="shared" si="3"/>
        <v>23.358490210827973</v>
      </c>
      <c r="J32" s="77">
        <f t="shared" si="4"/>
        <v>500</v>
      </c>
    </row>
    <row r="33" spans="4:10" x14ac:dyDescent="0.25">
      <c r="D33" s="60">
        <v>2038</v>
      </c>
      <c r="E33" s="62">
        <v>122580.11062012773</v>
      </c>
      <c r="F33" s="77">
        <f t="shared" si="5"/>
        <v>472.56426015613459</v>
      </c>
      <c r="G33" s="60">
        <f t="shared" si="1"/>
        <v>259.39352793972915</v>
      </c>
      <c r="H33" s="77">
        <f t="shared" si="7"/>
        <v>5324.8551707006345</v>
      </c>
      <c r="I33" s="60">
        <f t="shared" si="3"/>
        <v>23.020365191265636</v>
      </c>
      <c r="J33" s="77">
        <f t="shared" si="4"/>
        <v>500</v>
      </c>
    </row>
    <row r="34" spans="4:10" x14ac:dyDescent="0.25">
      <c r="D34" s="60">
        <v>2039</v>
      </c>
      <c r="E34" s="62">
        <v>132576.71858325831</v>
      </c>
      <c r="F34" s="77">
        <f t="shared" si="5"/>
        <v>512.73222226940607</v>
      </c>
      <c r="G34" s="60">
        <f t="shared" si="1"/>
        <v>258.56911819674599</v>
      </c>
      <c r="H34" s="77">
        <f t="shared" si="7"/>
        <v>5824.8551707006345</v>
      </c>
      <c r="I34" s="60">
        <f t="shared" si="3"/>
        <v>22.760517591944094</v>
      </c>
      <c r="J34" s="77">
        <f t="shared" si="4"/>
        <v>500</v>
      </c>
    </row>
    <row r="35" spans="4:10" x14ac:dyDescent="0.25">
      <c r="D35" s="60">
        <v>2040</v>
      </c>
      <c r="E35" s="62">
        <v>142506.52055845049</v>
      </c>
      <c r="F35" s="77">
        <f t="shared" si="5"/>
        <v>556.31446116230552</v>
      </c>
      <c r="G35" s="60">
        <f t="shared" si="1"/>
        <v>256.16181226120239</v>
      </c>
      <c r="H35" s="77">
        <f t="shared" si="7"/>
        <v>6324.8551707006345</v>
      </c>
      <c r="I35" s="60">
        <f t="shared" si="3"/>
        <v>22.531191104359209</v>
      </c>
      <c r="J35" s="77">
        <f t="shared" si="4"/>
        <v>500</v>
      </c>
    </row>
    <row r="36" spans="4:10" x14ac:dyDescent="0.25">
      <c r="D36" s="60">
        <v>2041</v>
      </c>
      <c r="E36" s="62">
        <v>151371.76350711234</v>
      </c>
      <c r="F36" s="77">
        <f t="shared" si="5"/>
        <v>603.60119036110143</v>
      </c>
      <c r="G36" s="60">
        <f t="shared" si="1"/>
        <v>250.7810884477463</v>
      </c>
      <c r="H36" s="77">
        <f t="shared" si="7"/>
        <v>6824.8551707006345</v>
      </c>
      <c r="I36" s="60">
        <f t="shared" si="3"/>
        <v>22.179483625814822</v>
      </c>
      <c r="J36" s="77">
        <f t="shared" si="4"/>
        <v>500</v>
      </c>
    </row>
    <row r="37" spans="4:10" x14ac:dyDescent="0.25">
      <c r="D37" s="60">
        <v>2042</v>
      </c>
      <c r="E37" s="62">
        <v>159673.53906730382</v>
      </c>
      <c r="F37" s="77">
        <f t="shared" si="5"/>
        <v>654.90729154179508</v>
      </c>
      <c r="G37" s="60">
        <f t="shared" si="1"/>
        <v>243.81090442801053</v>
      </c>
      <c r="H37" s="77">
        <f t="shared" si="7"/>
        <v>7324.8551707006345</v>
      </c>
      <c r="I37" s="60">
        <f t="shared" si="3"/>
        <v>21.798866372948474</v>
      </c>
      <c r="J37" s="77">
        <f t="shared" si="4"/>
        <v>500</v>
      </c>
    </row>
    <row r="38" spans="4:10" x14ac:dyDescent="0.25">
      <c r="D38" s="60">
        <v>2043</v>
      </c>
      <c r="E38" s="62">
        <v>167588.28653923824</v>
      </c>
      <c r="F38" s="77">
        <f t="shared" si="5"/>
        <v>710.5744113228476</v>
      </c>
      <c r="G38" s="60">
        <f t="shared" si="1"/>
        <v>235.84903124677106</v>
      </c>
      <c r="H38" s="77">
        <f t="shared" si="7"/>
        <v>7824.8551707006345</v>
      </c>
      <c r="I38" s="60">
        <f t="shared" si="3"/>
        <v>21.417429828829974</v>
      </c>
      <c r="J38" s="77">
        <f t="shared" si="4"/>
        <v>500</v>
      </c>
    </row>
    <row r="39" spans="4:10" x14ac:dyDescent="0.25">
      <c r="D39" s="60">
        <v>2044</v>
      </c>
      <c r="E39" s="62">
        <v>175044.12377518095</v>
      </c>
      <c r="F39" s="77">
        <f t="shared" si="5"/>
        <v>770.97323628528966</v>
      </c>
      <c r="G39" s="60">
        <f t="shared" si="1"/>
        <v>227.04306133709667</v>
      </c>
      <c r="H39" s="77">
        <f t="shared" si="7"/>
        <v>8324.8551707006336</v>
      </c>
      <c r="I39" s="60">
        <f t="shared" si="3"/>
        <v>21.026686973636437</v>
      </c>
      <c r="J39" s="77">
        <f t="shared" si="4"/>
        <v>499.99999999999909</v>
      </c>
    </row>
    <row r="40" spans="4:10" x14ac:dyDescent="0.25">
      <c r="D40" s="60">
        <v>2045</v>
      </c>
      <c r="E40" s="62">
        <v>181822.7808532239</v>
      </c>
      <c r="F40" s="77">
        <f t="shared" si="5"/>
        <v>836.50596136953925</v>
      </c>
      <c r="G40" s="60">
        <f t="shared" si="1"/>
        <v>217.35981481296452</v>
      </c>
      <c r="H40" s="77">
        <f t="shared" si="7"/>
        <v>8824.8551707006336</v>
      </c>
      <c r="I40" s="60">
        <f t="shared" si="3"/>
        <v>20.603486101040275</v>
      </c>
      <c r="J40" s="77">
        <f t="shared" si="4"/>
        <v>500</v>
      </c>
    </row>
    <row r="41" spans="4:10" x14ac:dyDescent="0.25">
      <c r="D41" s="60">
        <v>2046</v>
      </c>
      <c r="E41" s="62">
        <v>187576.95209707925</v>
      </c>
      <c r="F41" s="77">
        <f t="shared" si="5"/>
        <v>907.6089680859501</v>
      </c>
      <c r="G41" s="60">
        <f t="shared" si="1"/>
        <v>206.67154985550542</v>
      </c>
      <c r="H41" s="77">
        <f>H40+(J40*0.7)</f>
        <v>9174.8551707006336</v>
      </c>
      <c r="I41" s="60">
        <f t="shared" si="3"/>
        <v>20.444677175515025</v>
      </c>
      <c r="J41" s="77">
        <f t="shared" si="4"/>
        <v>350</v>
      </c>
    </row>
    <row r="42" spans="4:10" x14ac:dyDescent="0.25">
      <c r="D42" s="60">
        <v>2047</v>
      </c>
      <c r="E42" s="62">
        <v>191873.61220412838</v>
      </c>
      <c r="F42" s="77">
        <f t="shared" si="5"/>
        <v>984.7557303732558</v>
      </c>
      <c r="G42" s="60">
        <f t="shared" si="1"/>
        <v>194.84386461138112</v>
      </c>
      <c r="H42" s="77">
        <f t="shared" ref="H42:H45" si="8">H41+(J41*0.7)</f>
        <v>9419.8551707006336</v>
      </c>
      <c r="I42" s="60">
        <f t="shared" si="3"/>
        <v>20.369061809031734</v>
      </c>
      <c r="J42" s="77">
        <f t="shared" si="4"/>
        <v>245</v>
      </c>
    </row>
    <row r="43" spans="4:10" x14ac:dyDescent="0.25">
      <c r="D43" s="60">
        <v>2048</v>
      </c>
      <c r="E43" s="62">
        <v>194800.55049629914</v>
      </c>
      <c r="F43" s="77">
        <f t="shared" si="5"/>
        <v>1068.4599674549825</v>
      </c>
      <c r="G43" s="60">
        <f t="shared" si="1"/>
        <v>182.31899783789203</v>
      </c>
      <c r="H43" s="77">
        <f t="shared" si="8"/>
        <v>9591.3551707006336</v>
      </c>
      <c r="I43" s="60">
        <f t="shared" si="3"/>
        <v>20.310013238939337</v>
      </c>
      <c r="J43" s="77">
        <f t="shared" si="4"/>
        <v>171.5</v>
      </c>
    </row>
    <row r="44" spans="4:10" x14ac:dyDescent="0.25">
      <c r="D44" s="60">
        <v>2049</v>
      </c>
      <c r="E44" s="62">
        <v>196496.54109999997</v>
      </c>
      <c r="F44" s="77">
        <f t="shared" si="5"/>
        <v>1159.279064688656</v>
      </c>
      <c r="G44" s="60">
        <f t="shared" si="1"/>
        <v>169.49891280299488</v>
      </c>
      <c r="H44" s="77">
        <f t="shared" si="8"/>
        <v>9711.4051707006329</v>
      </c>
      <c r="I44" s="60">
        <f t="shared" si="3"/>
        <v>20.233584908271688</v>
      </c>
      <c r="J44" s="77">
        <f t="shared" si="4"/>
        <v>120.04999999999927</v>
      </c>
    </row>
    <row r="45" spans="4:10" x14ac:dyDescent="0.25">
      <c r="D45" s="60">
        <v>2050</v>
      </c>
      <c r="E45" s="62">
        <v>197726.06277999998</v>
      </c>
      <c r="F45" s="77">
        <f t="shared" si="5"/>
        <v>1257.8177851871917</v>
      </c>
      <c r="G45" s="60">
        <f t="shared" si="1"/>
        <v>157.19769994393414</v>
      </c>
      <c r="H45" s="77">
        <f t="shared" si="8"/>
        <v>9795.4401707006327</v>
      </c>
      <c r="I45" s="60">
        <f t="shared" si="3"/>
        <v>20.185520949984767</v>
      </c>
      <c r="J45" s="77">
        <f t="shared" si="4"/>
        <v>84.034999999999854</v>
      </c>
    </row>
    <row r="46" spans="4:10" x14ac:dyDescent="0.25">
      <c r="E46" s="16"/>
      <c r="H46" s="43"/>
      <c r="J46" s="43"/>
    </row>
    <row r="47" spans="4:10" x14ac:dyDescent="0.25">
      <c r="H47" s="43"/>
      <c r="J47" s="43"/>
    </row>
    <row r="48" spans="4:10" x14ac:dyDescent="0.25">
      <c r="F48" s="68" t="s">
        <v>119</v>
      </c>
      <c r="G48" s="68"/>
      <c r="H48" s="68"/>
      <c r="J48" s="43"/>
    </row>
    <row r="49" spans="5:15" x14ac:dyDescent="0.25">
      <c r="E49" s="60" t="s">
        <v>118</v>
      </c>
      <c r="F49" s="60" t="s">
        <v>115</v>
      </c>
      <c r="G49" s="60" t="s">
        <v>116</v>
      </c>
      <c r="H49" s="49" t="s">
        <v>117</v>
      </c>
      <c r="J49" s="43"/>
    </row>
    <row r="50" spans="5:15" x14ac:dyDescent="0.25">
      <c r="E50" s="60">
        <v>2019</v>
      </c>
      <c r="F50" s="60">
        <v>119</v>
      </c>
      <c r="G50" s="60">
        <v>14</v>
      </c>
      <c r="H50" s="76">
        <f>G50/F50*100</f>
        <v>11.76470588235294</v>
      </c>
      <c r="J50" s="43"/>
    </row>
    <row r="51" spans="5:15" x14ac:dyDescent="0.25">
      <c r="E51" s="60">
        <v>2020</v>
      </c>
      <c r="F51" s="60">
        <v>110</v>
      </c>
      <c r="G51" s="60">
        <v>19</v>
      </c>
      <c r="H51" s="76">
        <f t="shared" ref="H51:H54" si="9">G51/F51*100</f>
        <v>17.272727272727273</v>
      </c>
      <c r="J51" s="43"/>
      <c r="N51" s="43"/>
      <c r="O51" s="47"/>
    </row>
    <row r="52" spans="5:15" x14ac:dyDescent="0.25">
      <c r="E52" s="60">
        <v>2021</v>
      </c>
      <c r="F52" s="60">
        <v>123</v>
      </c>
      <c r="G52" s="60">
        <v>26</v>
      </c>
      <c r="H52" s="76">
        <f t="shared" si="9"/>
        <v>21.138211382113823</v>
      </c>
      <c r="J52" s="43"/>
      <c r="M52" s="16"/>
      <c r="N52" s="43"/>
      <c r="O52" s="47"/>
    </row>
    <row r="53" spans="5:15" x14ac:dyDescent="0.25">
      <c r="E53" s="60">
        <v>2022</v>
      </c>
      <c r="F53" s="60">
        <v>133</v>
      </c>
      <c r="G53" s="60">
        <v>34</v>
      </c>
      <c r="H53" s="76">
        <f t="shared" si="9"/>
        <v>25.563909774436087</v>
      </c>
      <c r="J53" s="43"/>
      <c r="M53" s="16"/>
      <c r="N53" s="43"/>
      <c r="O53" s="47"/>
    </row>
    <row r="54" spans="5:15" x14ac:dyDescent="0.25">
      <c r="E54" s="60">
        <v>2023</v>
      </c>
      <c r="F54" s="60">
        <v>139</v>
      </c>
      <c r="G54" s="60">
        <v>41</v>
      </c>
      <c r="H54" s="76">
        <f t="shared" si="9"/>
        <v>29.496402877697843</v>
      </c>
      <c r="J54" s="43"/>
      <c r="M54" s="16"/>
      <c r="N54" s="43"/>
      <c r="O54" s="47"/>
    </row>
    <row r="55" spans="5:15" x14ac:dyDescent="0.25">
      <c r="H55" s="43"/>
      <c r="J55" s="43"/>
      <c r="M55" s="16"/>
      <c r="N55" s="43"/>
      <c r="O55" s="47"/>
    </row>
    <row r="56" spans="5:15" x14ac:dyDescent="0.25">
      <c r="H56" s="43"/>
      <c r="J56" s="43"/>
      <c r="M56" s="16"/>
      <c r="N56" s="43"/>
      <c r="O56" s="47"/>
    </row>
    <row r="57" spans="5:15" x14ac:dyDescent="0.25">
      <c r="H57" s="43"/>
      <c r="J57" s="43"/>
      <c r="M57" s="16"/>
      <c r="N57" s="43"/>
      <c r="O57" s="47"/>
    </row>
    <row r="58" spans="5:15" x14ac:dyDescent="0.25">
      <c r="H58" s="43"/>
      <c r="J58" s="43"/>
    </row>
    <row r="60" spans="5:15" x14ac:dyDescent="0.25">
      <c r="N60" s="43"/>
      <c r="O60" s="47"/>
    </row>
    <row r="61" spans="5:15" x14ac:dyDescent="0.25">
      <c r="N61" s="43"/>
      <c r="O61" s="47"/>
    </row>
    <row r="62" spans="5:15" x14ac:dyDescent="0.25">
      <c r="N62" s="43"/>
      <c r="O62" s="47"/>
    </row>
    <row r="63" spans="5:15" x14ac:dyDescent="0.25">
      <c r="N63" s="43"/>
      <c r="O63" s="47"/>
    </row>
    <row r="64" spans="5:15" x14ac:dyDescent="0.25">
      <c r="N64" s="43"/>
      <c r="O64" s="47"/>
    </row>
    <row r="65" spans="14:15" x14ac:dyDescent="0.25">
      <c r="N65" s="43"/>
      <c r="O65" s="47"/>
    </row>
    <row r="66" spans="14:15" x14ac:dyDescent="0.25">
      <c r="N66" s="43"/>
      <c r="O66" s="47"/>
    </row>
  </sheetData>
  <mergeCells count="1">
    <mergeCell ref="F48:H48"/>
  </mergeCells>
  <conditionalFormatting sqref="G14:G45">
    <cfRule type="colorScale" priority="2">
      <colorScale>
        <cfvo type="num" val="0"/>
        <cfvo type="num" val="25"/>
        <cfvo type="num" val="63"/>
        <color rgb="FF00B050"/>
        <color rgb="FFFFEB84"/>
        <color rgb="FFFF0000"/>
      </colorScale>
    </cfRule>
  </conditionalFormatting>
  <conditionalFormatting sqref="I14:I45">
    <cfRule type="colorScale" priority="1">
      <colorScale>
        <cfvo type="num" val="0"/>
        <cfvo type="num" val="25"/>
        <cfvo type="num" val="63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1794-A026-4802-A20C-F385E4F915CF}">
  <dimension ref="B3:X64"/>
  <sheetViews>
    <sheetView zoomScale="55" zoomScaleNormal="55" workbookViewId="0">
      <selection activeCell="F59" sqref="F59"/>
    </sheetView>
  </sheetViews>
  <sheetFormatPr defaultRowHeight="15" x14ac:dyDescent="0.25"/>
  <cols>
    <col min="2" max="2" width="11.28515625" customWidth="1"/>
    <col min="3" max="3" width="14.7109375" customWidth="1"/>
    <col min="4" max="5" width="17.5703125" customWidth="1"/>
    <col min="6" max="6" width="20.42578125" customWidth="1"/>
    <col min="7" max="7" width="22" customWidth="1"/>
    <col min="8" max="8" width="19.85546875" customWidth="1"/>
    <col min="9" max="9" width="15.28515625" customWidth="1"/>
    <col min="10" max="10" width="19.7109375" customWidth="1"/>
    <col min="11" max="11" width="24" customWidth="1"/>
    <col min="12" max="12" width="16.42578125" customWidth="1"/>
    <col min="13" max="13" width="13.5703125" customWidth="1"/>
    <col min="14" max="14" width="16.85546875" customWidth="1"/>
    <col min="15" max="15" width="19.140625" customWidth="1"/>
    <col min="16" max="16" width="17.28515625" customWidth="1"/>
    <col min="17" max="17" width="17.140625" customWidth="1"/>
    <col min="20" max="20" width="18" customWidth="1"/>
    <col min="21" max="21" width="7.42578125" customWidth="1"/>
    <col min="22" max="22" width="15" customWidth="1"/>
    <col min="23" max="23" width="12.5703125" customWidth="1"/>
    <col min="24" max="24" width="15.42578125" customWidth="1"/>
  </cols>
  <sheetData>
    <row r="3" spans="2:22" ht="18.75" x14ac:dyDescent="0.3">
      <c r="B3" s="42" t="s">
        <v>81</v>
      </c>
    </row>
    <row r="4" spans="2:22" ht="15.75" thickBot="1" x14ac:dyDescent="0.3"/>
    <row r="5" spans="2:22" x14ac:dyDescent="0.25">
      <c r="B5" s="24"/>
      <c r="C5" s="25"/>
      <c r="D5" s="57" t="s">
        <v>24</v>
      </c>
      <c r="E5" s="57"/>
      <c r="F5" s="57"/>
      <c r="G5" s="57"/>
      <c r="H5" s="57"/>
      <c r="I5" s="54"/>
      <c r="J5" s="57" t="s">
        <v>25</v>
      </c>
      <c r="K5" s="57"/>
      <c r="L5" s="57"/>
      <c r="M5" s="57"/>
      <c r="N5" s="54"/>
      <c r="O5" s="54"/>
      <c r="P5" s="27"/>
      <c r="S5" s="24"/>
      <c r="T5" s="25" t="s">
        <v>54</v>
      </c>
      <c r="U5" s="25" t="s">
        <v>55</v>
      </c>
      <c r="V5" s="27" t="s">
        <v>56</v>
      </c>
    </row>
    <row r="6" spans="2:22" x14ac:dyDescent="0.25">
      <c r="B6" s="28"/>
      <c r="D6" s="55" t="s">
        <v>26</v>
      </c>
      <c r="E6" s="55"/>
      <c r="F6" s="55" t="s">
        <v>27</v>
      </c>
      <c r="G6" s="55"/>
      <c r="I6" s="55" t="s">
        <v>26</v>
      </c>
      <c r="J6" s="55"/>
      <c r="K6" s="55" t="s">
        <v>27</v>
      </c>
      <c r="L6" s="55"/>
      <c r="M6" s="53"/>
      <c r="N6" s="53"/>
      <c r="P6" s="31"/>
      <c r="S6" s="28">
        <v>2008</v>
      </c>
      <c r="T6">
        <v>9517</v>
      </c>
      <c r="U6">
        <v>0</v>
      </c>
      <c r="V6" s="37">
        <f>T6-U6</f>
        <v>9517</v>
      </c>
    </row>
    <row r="7" spans="2:22" x14ac:dyDescent="0.25">
      <c r="B7" s="28" t="s">
        <v>0</v>
      </c>
      <c r="C7" t="s">
        <v>28</v>
      </c>
      <c r="D7" t="s">
        <v>29</v>
      </c>
      <c r="E7" t="s">
        <v>30</v>
      </c>
      <c r="F7" t="s">
        <v>29</v>
      </c>
      <c r="G7" t="s">
        <v>30</v>
      </c>
      <c r="H7" s="58" t="s">
        <v>31</v>
      </c>
      <c r="I7" t="s">
        <v>29</v>
      </c>
      <c r="J7" t="s">
        <v>30</v>
      </c>
      <c r="K7" t="s">
        <v>29</v>
      </c>
      <c r="L7" t="s">
        <v>30</v>
      </c>
      <c r="M7" s="58" t="s">
        <v>1</v>
      </c>
      <c r="N7" s="58" t="s">
        <v>32</v>
      </c>
      <c r="O7" t="s">
        <v>50</v>
      </c>
      <c r="P7" s="31" t="s">
        <v>49</v>
      </c>
      <c r="S7" s="28">
        <v>2009</v>
      </c>
      <c r="T7">
        <v>10424</v>
      </c>
      <c r="U7">
        <v>0</v>
      </c>
      <c r="V7" s="37">
        <f>T7-U7</f>
        <v>10424</v>
      </c>
    </row>
    <row r="8" spans="2:22" x14ac:dyDescent="0.25">
      <c r="B8" s="28">
        <v>2018</v>
      </c>
      <c r="C8">
        <v>12832</v>
      </c>
      <c r="D8">
        <v>16</v>
      </c>
      <c r="E8">
        <v>74</v>
      </c>
      <c r="F8">
        <v>16</v>
      </c>
      <c r="G8">
        <v>1</v>
      </c>
      <c r="H8">
        <v>107</v>
      </c>
      <c r="I8">
        <v>13</v>
      </c>
      <c r="J8">
        <v>188</v>
      </c>
      <c r="K8">
        <v>1</v>
      </c>
      <c r="L8">
        <v>0</v>
      </c>
      <c r="M8" s="16">
        <v>202</v>
      </c>
      <c r="N8" s="16">
        <v>309</v>
      </c>
      <c r="O8">
        <f>H8/N8*100</f>
        <v>34.627831715210355</v>
      </c>
      <c r="P8" s="31">
        <f>N8/C8*100</f>
        <v>2.4080423940149625</v>
      </c>
      <c r="S8" s="28">
        <v>2010</v>
      </c>
      <c r="T8">
        <v>11281</v>
      </c>
      <c r="U8">
        <v>0</v>
      </c>
      <c r="V8" s="37">
        <f>T8-U8</f>
        <v>11281</v>
      </c>
    </row>
    <row r="9" spans="2:22" x14ac:dyDescent="0.25">
      <c r="B9" s="28">
        <v>2019</v>
      </c>
      <c r="C9">
        <v>11171</v>
      </c>
      <c r="D9">
        <v>26</v>
      </c>
      <c r="E9">
        <v>128</v>
      </c>
      <c r="F9">
        <v>52</v>
      </c>
      <c r="G9">
        <v>1</v>
      </c>
      <c r="H9">
        <v>207</v>
      </c>
      <c r="I9">
        <v>18</v>
      </c>
      <c r="J9">
        <v>95</v>
      </c>
      <c r="K9">
        <v>0</v>
      </c>
      <c r="L9">
        <v>0</v>
      </c>
      <c r="M9" s="16">
        <v>113</v>
      </c>
      <c r="N9" s="16">
        <v>320</v>
      </c>
      <c r="O9">
        <f>H9/N9*100</f>
        <v>64.6875</v>
      </c>
      <c r="P9" s="31">
        <f>N9/C9*100</f>
        <v>2.8645600214842002</v>
      </c>
      <c r="S9" s="28">
        <v>2011</v>
      </c>
      <c r="T9">
        <v>10740</v>
      </c>
      <c r="U9">
        <v>0</v>
      </c>
      <c r="V9" s="37">
        <f>T9-U9</f>
        <v>10740</v>
      </c>
    </row>
    <row r="10" spans="2:22" x14ac:dyDescent="0.25">
      <c r="B10" s="28">
        <v>2020</v>
      </c>
      <c r="C10" s="16">
        <v>6895</v>
      </c>
      <c r="D10">
        <v>66</v>
      </c>
      <c r="E10">
        <v>265</v>
      </c>
      <c r="F10">
        <v>56</v>
      </c>
      <c r="G10">
        <v>5</v>
      </c>
      <c r="H10">
        <v>392</v>
      </c>
      <c r="I10">
        <v>40</v>
      </c>
      <c r="J10">
        <v>127</v>
      </c>
      <c r="K10">
        <v>1</v>
      </c>
      <c r="L10">
        <v>0</v>
      </c>
      <c r="M10" s="16">
        <v>168</v>
      </c>
      <c r="N10" s="16">
        <v>560</v>
      </c>
      <c r="O10">
        <f>H10/N10*100</f>
        <v>70</v>
      </c>
      <c r="P10" s="31">
        <f>N10/C10*100</f>
        <v>8.1218274111675122</v>
      </c>
      <c r="S10" s="28">
        <v>2012</v>
      </c>
      <c r="T10">
        <v>11093</v>
      </c>
      <c r="U10">
        <v>2</v>
      </c>
      <c r="V10" s="37">
        <f>T10-U10</f>
        <v>11091</v>
      </c>
    </row>
    <row r="11" spans="2:22" x14ac:dyDescent="0.25">
      <c r="B11" s="28">
        <v>2021</v>
      </c>
      <c r="C11" s="16">
        <v>6819</v>
      </c>
      <c r="D11">
        <v>120</v>
      </c>
      <c r="E11">
        <v>328</v>
      </c>
      <c r="F11">
        <v>79</v>
      </c>
      <c r="G11">
        <v>4</v>
      </c>
      <c r="H11">
        <v>531</v>
      </c>
      <c r="I11">
        <v>94</v>
      </c>
      <c r="J11">
        <v>157</v>
      </c>
      <c r="K11">
        <v>0</v>
      </c>
      <c r="L11">
        <v>0</v>
      </c>
      <c r="M11" s="16">
        <v>251</v>
      </c>
      <c r="N11" s="16">
        <v>782</v>
      </c>
      <c r="O11">
        <f>H11/N11*100</f>
        <v>67.902813299232733</v>
      </c>
      <c r="P11" s="31">
        <f>N11/C11*100</f>
        <v>11.467957178471917</v>
      </c>
      <c r="S11" s="28">
        <v>2013</v>
      </c>
      <c r="T11">
        <v>12007</v>
      </c>
      <c r="U11">
        <f>2+2+5+1+4</f>
        <v>14</v>
      </c>
      <c r="V11" s="37">
        <f>T11-U11</f>
        <v>11993</v>
      </c>
    </row>
    <row r="12" spans="2:22" ht="15.75" thickBot="1" x14ac:dyDescent="0.3">
      <c r="B12" s="33">
        <v>2022</v>
      </c>
      <c r="C12" s="34">
        <v>6571</v>
      </c>
      <c r="D12" s="35">
        <v>268</v>
      </c>
      <c r="E12" s="35">
        <v>332</v>
      </c>
      <c r="F12" s="35">
        <v>102</v>
      </c>
      <c r="G12" s="35">
        <v>2</v>
      </c>
      <c r="H12" s="35">
        <v>704</v>
      </c>
      <c r="I12" s="35">
        <v>72</v>
      </c>
      <c r="J12" s="35">
        <v>142</v>
      </c>
      <c r="K12" s="35">
        <v>2</v>
      </c>
      <c r="L12" s="35">
        <v>0</v>
      </c>
      <c r="M12" s="34">
        <v>216</v>
      </c>
      <c r="N12" s="34">
        <v>920</v>
      </c>
      <c r="O12" s="35">
        <f>H12/N12*100</f>
        <v>76.521739130434781</v>
      </c>
      <c r="P12" s="36">
        <f>N12/C12*100</f>
        <v>14.000913103028459</v>
      </c>
      <c r="S12" s="28">
        <v>2014</v>
      </c>
      <c r="T12">
        <v>13160</v>
      </c>
      <c r="U12">
        <f>4+17</f>
        <v>21</v>
      </c>
      <c r="V12" s="37">
        <f>T12-U12</f>
        <v>13139</v>
      </c>
    </row>
    <row r="13" spans="2:22" ht="15.75" thickBot="1" x14ac:dyDescent="0.3">
      <c r="C13" s="16"/>
      <c r="N13" s="16"/>
      <c r="O13" s="16"/>
      <c r="S13" s="28">
        <v>2015</v>
      </c>
      <c r="T13">
        <v>14290</v>
      </c>
      <c r="U13">
        <f>6+27</f>
        <v>33</v>
      </c>
      <c r="V13" s="37">
        <f>T13-U13</f>
        <v>14257</v>
      </c>
    </row>
    <row r="14" spans="2:22" x14ac:dyDescent="0.25">
      <c r="B14" s="24" t="s">
        <v>33</v>
      </c>
      <c r="C14" s="25" t="s">
        <v>51</v>
      </c>
      <c r="D14" s="25" t="s">
        <v>34</v>
      </c>
      <c r="E14" s="25" t="s">
        <v>35</v>
      </c>
      <c r="F14" s="25" t="s">
        <v>43</v>
      </c>
      <c r="G14" s="25" t="s">
        <v>52</v>
      </c>
      <c r="H14" s="27" t="s">
        <v>36</v>
      </c>
      <c r="J14" s="24" t="s">
        <v>80</v>
      </c>
      <c r="K14" s="25" t="s">
        <v>79</v>
      </c>
      <c r="L14" s="27" t="s">
        <v>78</v>
      </c>
      <c r="S14" s="28">
        <v>2016</v>
      </c>
      <c r="T14">
        <v>14916</v>
      </c>
      <c r="U14">
        <f>1+12+1+19+2+1</f>
        <v>36</v>
      </c>
      <c r="V14" s="37">
        <f>T14-U14</f>
        <v>14880</v>
      </c>
    </row>
    <row r="15" spans="2:22" x14ac:dyDescent="0.25">
      <c r="B15" s="28">
        <v>2018</v>
      </c>
      <c r="C15">
        <v>209600.00000000003</v>
      </c>
      <c r="D15">
        <v>354</v>
      </c>
      <c r="E15">
        <v>304</v>
      </c>
      <c r="F15">
        <v>658</v>
      </c>
      <c r="G15">
        <f>C15-208400</f>
        <v>1200.0000000000291</v>
      </c>
      <c r="H15" s="31">
        <f>C8-G15</f>
        <v>11631.999999999971</v>
      </c>
      <c r="J15" s="28">
        <v>2018</v>
      </c>
      <c r="K15">
        <f>C8</f>
        <v>12832</v>
      </c>
      <c r="L15" s="37">
        <f>H15</f>
        <v>11631.999999999971</v>
      </c>
      <c r="N15" s="16"/>
      <c r="S15" s="28">
        <v>2017</v>
      </c>
      <c r="T15">
        <v>13969</v>
      </c>
      <c r="U15">
        <f>4+11+1+35+1</f>
        <v>52</v>
      </c>
      <c r="V15" s="37">
        <f>T15-U15</f>
        <v>13917</v>
      </c>
    </row>
    <row r="16" spans="2:22" x14ac:dyDescent="0.25">
      <c r="B16" s="28">
        <v>2019</v>
      </c>
      <c r="C16">
        <v>211200</v>
      </c>
      <c r="D16">
        <v>567</v>
      </c>
      <c r="E16">
        <v>452</v>
      </c>
      <c r="F16">
        <v>1019</v>
      </c>
      <c r="G16">
        <f>C16-C15</f>
        <v>1599.9999999999709</v>
      </c>
      <c r="H16" s="31">
        <f>C9-G16</f>
        <v>9571.0000000000291</v>
      </c>
      <c r="J16" s="28">
        <v>2019</v>
      </c>
      <c r="K16">
        <f>C9</f>
        <v>11171</v>
      </c>
      <c r="L16" s="37">
        <f>H16</f>
        <v>9571.0000000000291</v>
      </c>
      <c r="N16" s="16"/>
      <c r="P16" s="20"/>
      <c r="Q16" s="16"/>
      <c r="S16" s="28">
        <v>2018</v>
      </c>
      <c r="T16">
        <f>C8</f>
        <v>12832</v>
      </c>
      <c r="U16" s="16">
        <f>M10</f>
        <v>168</v>
      </c>
      <c r="V16" s="37">
        <f>T16-U16</f>
        <v>12664</v>
      </c>
    </row>
    <row r="17" spans="2:24" ht="15.75" thickBot="1" x14ac:dyDescent="0.3">
      <c r="B17" s="28">
        <v>2020</v>
      </c>
      <c r="C17">
        <v>210899.99999999997</v>
      </c>
      <c r="D17">
        <v>1041</v>
      </c>
      <c r="E17">
        <v>696</v>
      </c>
      <c r="F17">
        <v>1737</v>
      </c>
      <c r="G17">
        <f>C17-C16</f>
        <v>-300.0000000000291</v>
      </c>
      <c r="H17" s="31">
        <f>C10-G17</f>
        <v>7195.0000000000291</v>
      </c>
      <c r="J17" s="28">
        <v>2020</v>
      </c>
      <c r="K17">
        <f>C10</f>
        <v>6895</v>
      </c>
      <c r="L17" s="37">
        <f>H17</f>
        <v>7195.0000000000291</v>
      </c>
      <c r="N17" s="16"/>
      <c r="P17" s="20"/>
      <c r="Q17" s="16"/>
      <c r="S17" s="33">
        <v>2019</v>
      </c>
      <c r="T17" s="35">
        <f>C9</f>
        <v>11171</v>
      </c>
      <c r="U17" s="34">
        <v>320</v>
      </c>
      <c r="V17" s="38">
        <f>T17-U17</f>
        <v>10851</v>
      </c>
    </row>
    <row r="18" spans="2:24" x14ac:dyDescent="0.25">
      <c r="B18" s="28">
        <v>2021</v>
      </c>
      <c r="C18">
        <v>211700</v>
      </c>
      <c r="D18">
        <v>1590</v>
      </c>
      <c r="E18">
        <v>1036</v>
      </c>
      <c r="F18">
        <v>2626</v>
      </c>
      <c r="G18">
        <f>C18-C17</f>
        <v>800.0000000000291</v>
      </c>
      <c r="H18" s="31">
        <f>C11-G18</f>
        <v>6018.9999999999709</v>
      </c>
      <c r="J18" s="28">
        <v>2021</v>
      </c>
      <c r="K18">
        <f>C11</f>
        <v>6819</v>
      </c>
      <c r="L18" s="37">
        <f>H18</f>
        <v>6018.9999999999709</v>
      </c>
      <c r="N18" s="16"/>
      <c r="P18" s="20"/>
      <c r="Q18" s="16"/>
      <c r="U18" s="16"/>
      <c r="V18" s="16"/>
    </row>
    <row r="19" spans="2:24" ht="15.75" thickBot="1" x14ac:dyDescent="0.3">
      <c r="B19" s="33">
        <v>2022</v>
      </c>
      <c r="C19" s="35">
        <v>210900</v>
      </c>
      <c r="D19" s="35">
        <v>2298</v>
      </c>
      <c r="E19" s="35">
        <v>1389</v>
      </c>
      <c r="F19" s="35">
        <v>3687</v>
      </c>
      <c r="G19" s="35">
        <f>C19-C18</f>
        <v>-800</v>
      </c>
      <c r="H19" s="36">
        <f>C12-G19</f>
        <v>7371</v>
      </c>
      <c r="J19" s="33">
        <v>2022</v>
      </c>
      <c r="K19" s="35">
        <f>C12</f>
        <v>6571</v>
      </c>
      <c r="L19" s="38">
        <f>H19</f>
        <v>7371</v>
      </c>
      <c r="N19" s="16"/>
      <c r="P19" s="20"/>
      <c r="Q19" s="16"/>
    </row>
    <row r="20" spans="2:24" x14ac:dyDescent="0.25">
      <c r="C20" s="20"/>
      <c r="P20" s="20"/>
      <c r="Q20" s="16"/>
      <c r="R20" s="16"/>
    </row>
    <row r="21" spans="2:24" ht="15.75" thickBot="1" x14ac:dyDescent="0.3">
      <c r="C21" s="20"/>
      <c r="H21" s="55"/>
      <c r="I21" s="55"/>
      <c r="J21" s="55"/>
      <c r="P21" s="20"/>
      <c r="Q21" s="16"/>
      <c r="R21" s="16"/>
      <c r="X21" s="16"/>
    </row>
    <row r="22" spans="2:24" x14ac:dyDescent="0.25">
      <c r="B22" s="24"/>
      <c r="C22" s="25" t="s">
        <v>37</v>
      </c>
      <c r="D22" s="25" t="s">
        <v>38</v>
      </c>
      <c r="E22" s="25" t="s">
        <v>58</v>
      </c>
      <c r="F22" s="25" t="s">
        <v>39</v>
      </c>
      <c r="G22" s="25" t="s">
        <v>40</v>
      </c>
      <c r="H22" s="25" t="s">
        <v>41</v>
      </c>
      <c r="I22" s="25" t="s">
        <v>59</v>
      </c>
      <c r="J22" s="25" t="s">
        <v>46</v>
      </c>
      <c r="K22" s="25" t="s">
        <v>42</v>
      </c>
      <c r="L22" s="25" t="s">
        <v>43</v>
      </c>
      <c r="M22" s="63" t="s">
        <v>44</v>
      </c>
      <c r="N22" s="64" t="s">
        <v>45</v>
      </c>
      <c r="P22" s="20"/>
      <c r="Q22" s="16"/>
      <c r="R22" s="16"/>
      <c r="X22" s="16"/>
    </row>
    <row r="23" spans="2:24" x14ac:dyDescent="0.25">
      <c r="B23" s="28">
        <v>2018</v>
      </c>
      <c r="C23" s="29">
        <f>C15</f>
        <v>209600.00000000003</v>
      </c>
      <c r="D23" s="29">
        <f>C8</f>
        <v>12832</v>
      </c>
      <c r="E23" s="29" t="s">
        <v>57</v>
      </c>
      <c r="F23" s="21">
        <f>N8</f>
        <v>309</v>
      </c>
      <c r="G23" s="29">
        <f>D23-F23</f>
        <v>12523</v>
      </c>
      <c r="H23" s="29">
        <f>H15</f>
        <v>11631.999999999971</v>
      </c>
      <c r="I23" s="29" t="s">
        <v>57</v>
      </c>
      <c r="J23" s="29" t="s">
        <v>57</v>
      </c>
      <c r="K23" s="29">
        <v>0</v>
      </c>
      <c r="L23" s="29">
        <f>F15</f>
        <v>658</v>
      </c>
      <c r="M23" s="65">
        <f>(L23/C23)*100</f>
        <v>0.31393129770992362</v>
      </c>
      <c r="N23" s="37">
        <f>C23-L23</f>
        <v>208942.00000000003</v>
      </c>
      <c r="P23" s="20"/>
      <c r="Q23" s="16"/>
      <c r="R23" s="16"/>
      <c r="X23" s="16"/>
    </row>
    <row r="24" spans="2:24" x14ac:dyDescent="0.25">
      <c r="B24" s="28">
        <v>2019</v>
      </c>
      <c r="C24" s="29">
        <f>C16</f>
        <v>211200</v>
      </c>
      <c r="D24" s="29">
        <f>C9</f>
        <v>11171</v>
      </c>
      <c r="E24" s="29" t="s">
        <v>57</v>
      </c>
      <c r="F24" s="21">
        <f>N9</f>
        <v>320</v>
      </c>
      <c r="G24" s="29">
        <f>D24-F24</f>
        <v>10851</v>
      </c>
      <c r="H24" s="29">
        <f>H16</f>
        <v>9571.0000000000291</v>
      </c>
      <c r="I24" s="29" t="s">
        <v>57</v>
      </c>
      <c r="J24" s="29" t="s">
        <v>57</v>
      </c>
      <c r="K24" s="29">
        <v>0</v>
      </c>
      <c r="L24" s="29">
        <f>F16</f>
        <v>1019</v>
      </c>
      <c r="M24" s="65">
        <f>(L24/C24)*100</f>
        <v>0.48248106060606061</v>
      </c>
      <c r="N24" s="37">
        <f>C24-L24</f>
        <v>210181</v>
      </c>
      <c r="P24" s="20"/>
      <c r="Q24" s="16"/>
      <c r="R24" s="16"/>
      <c r="X24" s="16"/>
    </row>
    <row r="25" spans="2:24" x14ac:dyDescent="0.25">
      <c r="B25" s="28">
        <v>2020</v>
      </c>
      <c r="C25" s="29">
        <f>C17</f>
        <v>210899.99999999997</v>
      </c>
      <c r="D25" s="29">
        <f>C10</f>
        <v>6895</v>
      </c>
      <c r="E25" s="65">
        <v>8.11</v>
      </c>
      <c r="F25" s="44">
        <f>D25*(E25/100)</f>
        <v>559.18449999999996</v>
      </c>
      <c r="G25" s="21">
        <f>D25-F25</f>
        <v>6335.8154999999997</v>
      </c>
      <c r="H25" s="29">
        <f>H17</f>
        <v>7195.0000000000291</v>
      </c>
      <c r="I25" s="29" t="s">
        <v>57</v>
      </c>
      <c r="J25" s="29" t="s">
        <v>57</v>
      </c>
      <c r="K25" s="29">
        <v>0</v>
      </c>
      <c r="L25" s="29">
        <f>F17</f>
        <v>1737</v>
      </c>
      <c r="M25" s="65">
        <f>(L25/C25)*100</f>
        <v>0.82361308677098166</v>
      </c>
      <c r="N25" s="37">
        <f>C25-L25</f>
        <v>209162.99999999997</v>
      </c>
      <c r="P25" s="20"/>
      <c r="Q25" s="16"/>
      <c r="R25" s="16"/>
      <c r="X25" s="16"/>
    </row>
    <row r="26" spans="2:24" x14ac:dyDescent="0.25">
      <c r="B26" s="28">
        <v>2021</v>
      </c>
      <c r="C26" s="29">
        <f>C18</f>
        <v>211700</v>
      </c>
      <c r="D26" s="29">
        <f>C11</f>
        <v>6819</v>
      </c>
      <c r="E26" s="65">
        <v>10.572133026993445</v>
      </c>
      <c r="F26" s="21">
        <f>D26*(E26/100)</f>
        <v>720.91375111068305</v>
      </c>
      <c r="G26" s="21">
        <f>D26-F26</f>
        <v>6098.0862488893172</v>
      </c>
      <c r="H26" s="29">
        <f>H18</f>
        <v>6018.9999999999709</v>
      </c>
      <c r="I26" s="29" t="s">
        <v>57</v>
      </c>
      <c r="J26" s="29" t="s">
        <v>57</v>
      </c>
      <c r="K26" s="29">
        <v>0</v>
      </c>
      <c r="L26" s="21">
        <f>L25+F26-K26</f>
        <v>2457.9137511106828</v>
      </c>
      <c r="M26" s="65">
        <f>(L26/C26)*100</f>
        <v>1.1610362546578568</v>
      </c>
      <c r="N26" s="37">
        <f>C26-L26</f>
        <v>209242.0862488893</v>
      </c>
      <c r="P26" s="20"/>
      <c r="Q26" s="16"/>
      <c r="R26" s="16"/>
      <c r="X26" s="16"/>
    </row>
    <row r="27" spans="2:24" x14ac:dyDescent="0.25">
      <c r="B27" s="28">
        <v>2022</v>
      </c>
      <c r="C27" s="29">
        <f>C19</f>
        <v>210900</v>
      </c>
      <c r="D27" s="21">
        <f>C12</f>
        <v>6571</v>
      </c>
      <c r="E27" s="65">
        <v>14.196016681242689</v>
      </c>
      <c r="F27" s="21">
        <f>D27*(E27/100)</f>
        <v>932.82025612445716</v>
      </c>
      <c r="G27" s="21">
        <f>D27-F27</f>
        <v>5638.179743875543</v>
      </c>
      <c r="H27" s="29">
        <f>H19</f>
        <v>7371</v>
      </c>
      <c r="I27" s="29" t="s">
        <v>57</v>
      </c>
      <c r="J27" s="29" t="s">
        <v>57</v>
      </c>
      <c r="K27" s="29">
        <v>0</v>
      </c>
      <c r="L27" s="21">
        <f>L26+F27-K27</f>
        <v>3390.7340072351399</v>
      </c>
      <c r="M27" s="65">
        <f>(L27/C27)*100</f>
        <v>1.6077449062281364</v>
      </c>
      <c r="N27" s="37">
        <f>C27-L27</f>
        <v>207509.26599276485</v>
      </c>
      <c r="P27" s="20"/>
      <c r="Q27" s="16"/>
      <c r="R27" s="16"/>
      <c r="X27" s="16"/>
    </row>
    <row r="28" spans="2:24" x14ac:dyDescent="0.25">
      <c r="B28" s="28">
        <v>2023</v>
      </c>
      <c r="C28" s="21">
        <f>C27+D28-H28-K28</f>
        <v>210591.524</v>
      </c>
      <c r="D28" s="44">
        <f>(H28+K28)*0.972</f>
        <v>10708.523999999999</v>
      </c>
      <c r="E28" s="65">
        <v>18.563781351620044</v>
      </c>
      <c r="F28" s="21">
        <f>D28*(E28/100)</f>
        <v>1987.9069813457565</v>
      </c>
      <c r="G28" s="21">
        <f>D28-F28</f>
        <v>8720.6170186542422</v>
      </c>
      <c r="H28" s="44">
        <f>I28+J28</f>
        <v>11017</v>
      </c>
      <c r="I28" s="21">
        <f>V6</f>
        <v>9517</v>
      </c>
      <c r="J28" s="21">
        <v>1500</v>
      </c>
      <c r="K28" s="29">
        <f>U6</f>
        <v>0</v>
      </c>
      <c r="L28" s="21">
        <f>L27+F28-K28</f>
        <v>5378.6409885808962</v>
      </c>
      <c r="M28" s="65">
        <f>(L28/C28)*100</f>
        <v>2.5540633765397396</v>
      </c>
      <c r="N28" s="37">
        <f>C28-L28</f>
        <v>205212.88301141912</v>
      </c>
      <c r="P28" s="20"/>
      <c r="Q28" s="16"/>
      <c r="R28" s="16"/>
      <c r="X28" s="16"/>
    </row>
    <row r="29" spans="2:24" x14ac:dyDescent="0.25">
      <c r="B29" s="28">
        <v>2024</v>
      </c>
      <c r="C29" s="21">
        <f>C28+D29-H29-K29</f>
        <v>210257.652</v>
      </c>
      <c r="D29" s="21">
        <f>(H29+K29)*0.972</f>
        <v>11590.128000000001</v>
      </c>
      <c r="E29" s="65">
        <v>23.528613772595108</v>
      </c>
      <c r="F29" s="21">
        <f>D29*(E29/100)</f>
        <v>2726.9964528694022</v>
      </c>
      <c r="G29" s="21">
        <f>D29-F29</f>
        <v>8863.1315471305988</v>
      </c>
      <c r="H29" s="21">
        <f>I29+J29</f>
        <v>11924</v>
      </c>
      <c r="I29" s="21">
        <f>V7</f>
        <v>10424</v>
      </c>
      <c r="J29" s="21">
        <v>1500</v>
      </c>
      <c r="K29" s="29">
        <f>U7</f>
        <v>0</v>
      </c>
      <c r="L29" s="21">
        <f>L28+F29-K29</f>
        <v>8105.6374414502989</v>
      </c>
      <c r="M29" s="65">
        <f>(L29/C29)*100</f>
        <v>3.855097478901885</v>
      </c>
      <c r="N29" s="37">
        <f>C29-L29</f>
        <v>202152.01455854971</v>
      </c>
      <c r="P29" s="20"/>
      <c r="Q29" s="16"/>
      <c r="R29" s="16"/>
      <c r="W29" s="16"/>
      <c r="X29" s="16"/>
    </row>
    <row r="30" spans="2:24" x14ac:dyDescent="0.25">
      <c r="B30" s="28">
        <v>2025</v>
      </c>
      <c r="C30" s="21">
        <f>C29+D30-H30-K30</f>
        <v>209899.78400000001</v>
      </c>
      <c r="D30" s="21">
        <f>(H30+K30)*0.972</f>
        <v>12423.132</v>
      </c>
      <c r="E30" s="65">
        <v>29.006230705814048</v>
      </c>
      <c r="F30" s="21">
        <f>D30*(E30/100)</f>
        <v>3603.4823288078105</v>
      </c>
      <c r="G30" s="21">
        <f>D30-F30</f>
        <v>8819.64967119219</v>
      </c>
      <c r="H30" s="21">
        <f>I30+J30</f>
        <v>12781</v>
      </c>
      <c r="I30" s="21">
        <f>V8</f>
        <v>11281</v>
      </c>
      <c r="J30" s="21">
        <v>1500</v>
      </c>
      <c r="K30" s="29">
        <f>U8</f>
        <v>0</v>
      </c>
      <c r="L30" s="21">
        <f>L29+F30-K30</f>
        <v>11709.119770258108</v>
      </c>
      <c r="M30" s="65">
        <f>(L30/C30)*100</f>
        <v>5.5784334538705895</v>
      </c>
      <c r="N30" s="37">
        <f>C30-L30</f>
        <v>198190.6642297419</v>
      </c>
      <c r="P30" s="20"/>
      <c r="Q30" s="16"/>
      <c r="R30" s="16"/>
      <c r="W30" s="16"/>
      <c r="X30" s="16"/>
    </row>
    <row r="31" spans="2:24" x14ac:dyDescent="0.25">
      <c r="B31" s="28">
        <v>2026</v>
      </c>
      <c r="C31" s="21">
        <f>C30+D31-H31-K31</f>
        <v>209557.06400000001</v>
      </c>
      <c r="D31" s="21">
        <f>(H31+K31)*0.972</f>
        <v>11897.279999999999</v>
      </c>
      <c r="E31" s="65">
        <v>34.940030085348539</v>
      </c>
      <c r="F31" s="21">
        <f>D31*(E31/100)</f>
        <v>4156.9132113381538</v>
      </c>
      <c r="G31" s="21">
        <f>D31-F31</f>
        <v>7740.366788661845</v>
      </c>
      <c r="H31" s="21">
        <f>I31+J31</f>
        <v>12240</v>
      </c>
      <c r="I31" s="21">
        <f>V9</f>
        <v>10740</v>
      </c>
      <c r="J31" s="21">
        <v>1500</v>
      </c>
      <c r="K31" s="29">
        <f>U9</f>
        <v>0</v>
      </c>
      <c r="L31" s="21">
        <f>L30+F31-K31</f>
        <v>15866.032981596261</v>
      </c>
      <c r="M31" s="65">
        <f>(L31/C31)*100</f>
        <v>7.571223168881704</v>
      </c>
      <c r="N31" s="37">
        <f>C31-L31</f>
        <v>193691.03101840377</v>
      </c>
      <c r="P31" s="20"/>
      <c r="Q31" s="16"/>
      <c r="R31" s="16"/>
      <c r="V31" s="16"/>
      <c r="W31" s="16"/>
      <c r="X31" s="16"/>
    </row>
    <row r="32" spans="2:24" x14ac:dyDescent="0.25">
      <c r="B32" s="28">
        <v>2027</v>
      </c>
      <c r="C32" s="21">
        <f>C31+D32-H32-K32</f>
        <v>209204.46000000002</v>
      </c>
      <c r="D32" s="21">
        <f>(H32+K32)*0.972</f>
        <v>12240.395999999999</v>
      </c>
      <c r="E32" s="65">
        <v>41.288609876743621</v>
      </c>
      <c r="F32" s="21">
        <f>D32*(E32/100)</f>
        <v>5053.8893518085306</v>
      </c>
      <c r="G32" s="21">
        <f>D32-F32</f>
        <v>7186.5066481914682</v>
      </c>
      <c r="H32" s="21">
        <f>I32+J32</f>
        <v>12591</v>
      </c>
      <c r="I32" s="21">
        <f>V10</f>
        <v>11091</v>
      </c>
      <c r="J32" s="21">
        <v>1500</v>
      </c>
      <c r="K32" s="29">
        <f>U10</f>
        <v>2</v>
      </c>
      <c r="L32" s="21">
        <f>L31+F32-K32</f>
        <v>20917.922333404793</v>
      </c>
      <c r="M32" s="65">
        <f>(L32/C32)*100</f>
        <v>9.9987936841331155</v>
      </c>
      <c r="N32" s="37">
        <f>C32-L32</f>
        <v>188286.53766659522</v>
      </c>
      <c r="P32" s="20"/>
      <c r="Q32" s="16"/>
      <c r="R32" s="16"/>
      <c r="X32" s="16"/>
    </row>
    <row r="33" spans="2:18" x14ac:dyDescent="0.25">
      <c r="B33" s="28">
        <v>2028</v>
      </c>
      <c r="C33" s="21">
        <f>C32+D33-H33-K33</f>
        <v>208826.26400000002</v>
      </c>
      <c r="D33" s="21">
        <f>(H33+K33)*0.972</f>
        <v>13128.804</v>
      </c>
      <c r="E33" s="65">
        <v>48.01998731998431</v>
      </c>
      <c r="F33" s="21">
        <f>D33*(E33/100)</f>
        <v>6304.4500160655925</v>
      </c>
      <c r="G33" s="21">
        <f>D33-F33</f>
        <v>6824.3539839344076</v>
      </c>
      <c r="H33" s="21">
        <f>I33+J33</f>
        <v>13493</v>
      </c>
      <c r="I33" s="21">
        <f>V11</f>
        <v>11993</v>
      </c>
      <c r="J33" s="21">
        <v>1500</v>
      </c>
      <c r="K33" s="29">
        <f>U11</f>
        <v>14</v>
      </c>
      <c r="L33" s="21">
        <f>L32+F33-K33</f>
        <v>27208.372349470385</v>
      </c>
      <c r="M33" s="65">
        <f>(L33/C33)*100</f>
        <v>13.029190786782635</v>
      </c>
      <c r="N33" s="37">
        <f>C33-L33</f>
        <v>181617.89165052964</v>
      </c>
      <c r="P33" s="20"/>
      <c r="Q33" s="16"/>
      <c r="R33" s="16"/>
    </row>
    <row r="34" spans="2:18" x14ac:dyDescent="0.25">
      <c r="B34" s="28">
        <v>2029</v>
      </c>
      <c r="C34" s="21">
        <f>C33+D34-H34-K34</f>
        <v>208415.78400000001</v>
      </c>
      <c r="D34" s="21">
        <f>(H34+K34)*0.972</f>
        <v>14249.52</v>
      </c>
      <c r="E34" s="65">
        <v>55.108496314663881</v>
      </c>
      <c r="F34" s="21">
        <f>D34*(E34/100)</f>
        <v>7852.6962040572926</v>
      </c>
      <c r="G34" s="21">
        <f>D34-F34</f>
        <v>6396.8237959427079</v>
      </c>
      <c r="H34" s="21">
        <f>I34+J34</f>
        <v>14639</v>
      </c>
      <c r="I34" s="21">
        <f>V12</f>
        <v>13139</v>
      </c>
      <c r="J34" s="21">
        <v>1500</v>
      </c>
      <c r="K34" s="29">
        <f>U12</f>
        <v>21</v>
      </c>
      <c r="L34" s="21">
        <f>L33+F34-K34</f>
        <v>35040.068553527679</v>
      </c>
      <c r="M34" s="65">
        <f>(L34/C34)*100</f>
        <v>16.812579105586206</v>
      </c>
      <c r="N34" s="37">
        <f>C34-L34</f>
        <v>173375.71544647234</v>
      </c>
      <c r="P34" s="20"/>
      <c r="Q34" s="16"/>
      <c r="R34" s="16"/>
    </row>
    <row r="35" spans="2:18" x14ac:dyDescent="0.25">
      <c r="B35" s="28">
        <v>2030</v>
      </c>
      <c r="C35" s="21">
        <f>C34+D35-H35-K35</f>
        <v>207973.66400000002</v>
      </c>
      <c r="D35" s="21">
        <f>(H35+K35)*0.972</f>
        <v>15347.88</v>
      </c>
      <c r="E35" s="65">
        <v>62.532951013149976</v>
      </c>
      <c r="F35" s="21">
        <f>D35*(E35/100)</f>
        <v>9597.4822819570418</v>
      </c>
      <c r="G35" s="21">
        <f>D35-F35</f>
        <v>5750.3977180429574</v>
      </c>
      <c r="H35" s="21">
        <f>I35+J35</f>
        <v>15757</v>
      </c>
      <c r="I35" s="21">
        <f>V13</f>
        <v>14257</v>
      </c>
      <c r="J35" s="21">
        <v>1500</v>
      </c>
      <c r="K35" s="29">
        <f>U13</f>
        <v>33</v>
      </c>
      <c r="L35" s="21">
        <f>L34+F35-K35</f>
        <v>44604.550835484719</v>
      </c>
      <c r="M35" s="65">
        <f>(L35/C35)*100</f>
        <v>21.447211140870564</v>
      </c>
      <c r="N35" s="37">
        <f>C35-L35</f>
        <v>163369.11316451529</v>
      </c>
      <c r="P35" s="20"/>
      <c r="Q35" s="16"/>
      <c r="R35" s="16"/>
    </row>
    <row r="36" spans="2:18" x14ac:dyDescent="0.25">
      <c r="B36" s="28">
        <v>2031</v>
      </c>
      <c r="C36" s="21">
        <f>C35+D36-H36-K36</f>
        <v>207514.016</v>
      </c>
      <c r="D36" s="21">
        <f>(H36+K36)*0.972</f>
        <v>15956.351999999999</v>
      </c>
      <c r="E36" s="65">
        <v>70.275479634346397</v>
      </c>
      <c r="F36" s="21">
        <f>D36*(E36/100)</f>
        <v>11213.402900144623</v>
      </c>
      <c r="G36" s="21">
        <f>D36-F36</f>
        <v>4742.9490998553756</v>
      </c>
      <c r="H36" s="21">
        <f>I36+J36</f>
        <v>16380</v>
      </c>
      <c r="I36" s="21">
        <f>V14</f>
        <v>14880</v>
      </c>
      <c r="J36" s="21">
        <v>1500</v>
      </c>
      <c r="K36" s="29">
        <f>U14</f>
        <v>36</v>
      </c>
      <c r="L36" s="21">
        <f>L35+F36-K36</f>
        <v>55781.953735629344</v>
      </c>
      <c r="M36" s="65">
        <f>(L36/C36)*100</f>
        <v>26.88105353598349</v>
      </c>
      <c r="N36" s="37">
        <f>C36-L36</f>
        <v>151732.06226437067</v>
      </c>
      <c r="P36" s="20"/>
      <c r="Q36" s="16"/>
      <c r="R36" s="16"/>
    </row>
    <row r="37" spans="2:18" x14ac:dyDescent="0.25">
      <c r="B37" s="28">
        <v>2032</v>
      </c>
      <c r="C37" s="21">
        <f>C36+D37-H37-K37</f>
        <v>207080.88399999999</v>
      </c>
      <c r="D37" s="21">
        <f>(H37+K37)*0.972</f>
        <v>15035.868</v>
      </c>
      <c r="E37" s="65">
        <v>78.320743364805224</v>
      </c>
      <c r="F37" s="21">
        <f>D37*(E37/100)</f>
        <v>11776.203588950872</v>
      </c>
      <c r="G37" s="21">
        <f>D37-F37</f>
        <v>3259.6644110491288</v>
      </c>
      <c r="H37" s="21">
        <f>I37+J37</f>
        <v>15417</v>
      </c>
      <c r="I37" s="21">
        <f>V15</f>
        <v>13917</v>
      </c>
      <c r="J37" s="21">
        <v>1500</v>
      </c>
      <c r="K37" s="29">
        <f>U15</f>
        <v>52</v>
      </c>
      <c r="L37" s="21">
        <f>L36+F37-K37</f>
        <v>67506.157324580214</v>
      </c>
      <c r="M37" s="65">
        <f>(L37/C37)*100</f>
        <v>32.59893236914143</v>
      </c>
      <c r="N37" s="37">
        <f>C37-L37</f>
        <v>139574.72667541978</v>
      </c>
      <c r="P37" s="20"/>
      <c r="Q37" s="16"/>
      <c r="R37" s="16"/>
    </row>
    <row r="38" spans="2:18" x14ac:dyDescent="0.25">
      <c r="B38" s="28">
        <v>2033</v>
      </c>
      <c r="C38" s="21">
        <f>C37+D38-H38-K38</f>
        <v>206679.58799999999</v>
      </c>
      <c r="D38" s="21">
        <f>(H38+K38)*0.972</f>
        <v>13930.704</v>
      </c>
      <c r="E38" s="65">
        <v>86.655390824679472</v>
      </c>
      <c r="F38" s="21">
        <f>D38*(E38/100)</f>
        <v>12071.705995829256</v>
      </c>
      <c r="G38" s="21">
        <f>D38-F38</f>
        <v>1858.998004170744</v>
      </c>
      <c r="H38" s="21">
        <f>I38+J38</f>
        <v>14164</v>
      </c>
      <c r="I38" s="21">
        <f>V16</f>
        <v>12664</v>
      </c>
      <c r="J38" s="21">
        <v>1500</v>
      </c>
      <c r="K38" s="29">
        <f>U16</f>
        <v>168</v>
      </c>
      <c r="L38" s="21">
        <f>L37+F38-K38</f>
        <v>79409.863320409466</v>
      </c>
      <c r="M38" s="65">
        <f>(L38/C38)*100</f>
        <v>38.421725187689781</v>
      </c>
      <c r="N38" s="37">
        <f>C38-L38</f>
        <v>127269.72467959052</v>
      </c>
      <c r="P38" s="20"/>
      <c r="Q38" s="16"/>
      <c r="R38" s="16"/>
    </row>
    <row r="39" spans="2:18" x14ac:dyDescent="0.25">
      <c r="B39" s="28">
        <v>2034</v>
      </c>
      <c r="C39" s="21">
        <f>C38+D39-H39-K39</f>
        <v>206324.8</v>
      </c>
      <c r="D39" s="21">
        <f>(H39+K39)*0.972</f>
        <v>12316.212</v>
      </c>
      <c r="E39" s="65">
        <v>95.267663956248626</v>
      </c>
      <c r="F39" s="21">
        <f>D39*(E39/100)</f>
        <v>11733.367460299167</v>
      </c>
      <c r="G39" s="21">
        <f>D39-F39</f>
        <v>582.84453970083268</v>
      </c>
      <c r="H39" s="21">
        <f>I39+J39</f>
        <v>12351</v>
      </c>
      <c r="I39" s="21">
        <f>V17</f>
        <v>10851</v>
      </c>
      <c r="J39" s="21">
        <v>1500</v>
      </c>
      <c r="K39" s="29">
        <f>U17</f>
        <v>320</v>
      </c>
      <c r="L39" s="21">
        <f>L38+F39-K39</f>
        <v>90823.230780708633</v>
      </c>
      <c r="M39" s="65">
        <f>(L39/C39)*100</f>
        <v>44.01954141271851</v>
      </c>
      <c r="N39" s="37">
        <f>C39-L39</f>
        <v>115501.56921929136</v>
      </c>
      <c r="P39" s="20"/>
      <c r="Q39" s="16"/>
      <c r="R39" s="16"/>
    </row>
    <row r="40" spans="2:18" x14ac:dyDescent="0.25">
      <c r="B40" s="28">
        <v>2035</v>
      </c>
      <c r="C40" s="21">
        <f>C39+D40-H40-K40</f>
        <v>206089.74</v>
      </c>
      <c r="D40" s="21">
        <f>(H40+K40)*0.972</f>
        <v>8159.94</v>
      </c>
      <c r="E40" s="29">
        <v>100</v>
      </c>
      <c r="F40" s="21">
        <f>D40*(E40/100)</f>
        <v>8159.94</v>
      </c>
      <c r="G40" s="21">
        <f>D40-F40</f>
        <v>0</v>
      </c>
      <c r="H40" s="21">
        <f>I40+J40</f>
        <v>7835.8154999999997</v>
      </c>
      <c r="I40" s="21">
        <f>G25</f>
        <v>6335.8154999999997</v>
      </c>
      <c r="J40" s="21">
        <v>1500</v>
      </c>
      <c r="K40" s="21">
        <f>F25</f>
        <v>559.18449999999996</v>
      </c>
      <c r="L40" s="21">
        <f>L39+F40-K40</f>
        <v>98423.986280708632</v>
      </c>
      <c r="M40" s="65">
        <f>(L40/C40)*100</f>
        <v>47.757829322657521</v>
      </c>
      <c r="N40" s="37">
        <f>C40-L40</f>
        <v>107665.75371929136</v>
      </c>
      <c r="P40" s="20"/>
      <c r="Q40" s="16"/>
      <c r="R40" s="16"/>
    </row>
    <row r="41" spans="2:18" x14ac:dyDescent="0.25">
      <c r="B41" s="28">
        <v>2036</v>
      </c>
      <c r="C41" s="21">
        <f>C40+D41-H41-K41</f>
        <v>205856.80799999999</v>
      </c>
      <c r="D41" s="21">
        <f>(H41+K41)*0.972</f>
        <v>8086.0680000000002</v>
      </c>
      <c r="E41" s="29">
        <v>100</v>
      </c>
      <c r="F41" s="21">
        <f>D41*(E41/100)</f>
        <v>8086.0680000000002</v>
      </c>
      <c r="G41" s="21">
        <f>D41-F41</f>
        <v>0</v>
      </c>
      <c r="H41" s="21">
        <f>I41+J41</f>
        <v>7598.0862488893172</v>
      </c>
      <c r="I41" s="21">
        <f>G26</f>
        <v>6098.0862488893172</v>
      </c>
      <c r="J41" s="21">
        <v>1500</v>
      </c>
      <c r="K41" s="21">
        <f>F26</f>
        <v>720.91375111068305</v>
      </c>
      <c r="L41" s="21">
        <f>L40+F41-K41</f>
        <v>105789.14052959795</v>
      </c>
      <c r="M41" s="65">
        <f>(L41/C41)*100</f>
        <v>51.389673024366509</v>
      </c>
      <c r="N41" s="37">
        <f>C41-L41</f>
        <v>100067.66747040204</v>
      </c>
      <c r="P41" s="20"/>
      <c r="Q41" s="16"/>
      <c r="R41" s="16"/>
    </row>
    <row r="42" spans="2:18" x14ac:dyDescent="0.25">
      <c r="B42" s="28">
        <v>2037</v>
      </c>
      <c r="C42" s="21">
        <f>C41+D42-H42-K42</f>
        <v>205630.81999999998</v>
      </c>
      <c r="D42" s="21">
        <f>(H42+K42)*0.972</f>
        <v>7845.0119999999997</v>
      </c>
      <c r="E42" s="29">
        <v>100</v>
      </c>
      <c r="F42" s="21">
        <f>D42*(E42/100)</f>
        <v>7845.0119999999997</v>
      </c>
      <c r="G42" s="21">
        <f>D42-F42</f>
        <v>0</v>
      </c>
      <c r="H42" s="21">
        <f>I42+J42</f>
        <v>7138.179743875543</v>
      </c>
      <c r="I42" s="21">
        <f>G27</f>
        <v>5638.179743875543</v>
      </c>
      <c r="J42" s="21">
        <v>1500</v>
      </c>
      <c r="K42" s="21">
        <f>F27</f>
        <v>932.82025612445716</v>
      </c>
      <c r="L42" s="21">
        <f>L41+F42-K42</f>
        <v>112701.3322734735</v>
      </c>
      <c r="M42" s="65">
        <f>(L42/C42)*100</f>
        <v>54.80760728059807</v>
      </c>
      <c r="N42" s="37">
        <f>C42-L42</f>
        <v>92929.48772652648</v>
      </c>
      <c r="P42" s="20"/>
      <c r="Q42" s="16"/>
      <c r="R42" s="16"/>
    </row>
    <row r="43" spans="2:18" x14ac:dyDescent="0.25">
      <c r="B43" s="28">
        <v>2038</v>
      </c>
      <c r="C43" s="21">
        <f>C42+D43-H43-K43</f>
        <v>205288.98132799997</v>
      </c>
      <c r="D43" s="21">
        <f>(H43+K43)*0.972</f>
        <v>11866.685328</v>
      </c>
      <c r="E43" s="29">
        <v>100</v>
      </c>
      <c r="F43" s="21">
        <f>D43*(E43/100)</f>
        <v>11866.685328</v>
      </c>
      <c r="G43" s="21">
        <f>D43-F43</f>
        <v>0</v>
      </c>
      <c r="H43" s="21">
        <f>I43+J43</f>
        <v>10220.617018654242</v>
      </c>
      <c r="I43" s="21">
        <f>G28</f>
        <v>8720.6170186542422</v>
      </c>
      <c r="J43" s="21">
        <v>1500</v>
      </c>
      <c r="K43" s="21">
        <f>F28</f>
        <v>1987.9069813457565</v>
      </c>
      <c r="L43" s="21">
        <f>L42+F43-K43</f>
        <v>122580.11062012773</v>
      </c>
      <c r="M43" s="65">
        <f>(L43/C43)*100</f>
        <v>59.711003399776075</v>
      </c>
      <c r="N43" s="37">
        <f>C43-L43</f>
        <v>82708.870707872236</v>
      </c>
      <c r="P43" s="20"/>
      <c r="Q43" s="16"/>
      <c r="R43" s="16"/>
    </row>
    <row r="44" spans="2:18" x14ac:dyDescent="0.25">
      <c r="B44" s="28">
        <v>2039</v>
      </c>
      <c r="C44" s="21">
        <f>C43+D44-H44-K44</f>
        <v>204922.45774399996</v>
      </c>
      <c r="D44" s="21">
        <f>(H44+K44)*0.972</f>
        <v>12723.604416</v>
      </c>
      <c r="E44" s="29">
        <v>100</v>
      </c>
      <c r="F44" s="21">
        <f>D44*(E44/100)</f>
        <v>12723.604416</v>
      </c>
      <c r="G44" s="21">
        <f>D44-F44</f>
        <v>0</v>
      </c>
      <c r="H44" s="21">
        <f>I44+J44</f>
        <v>10363.131547130599</v>
      </c>
      <c r="I44" s="21">
        <f>G29</f>
        <v>8863.1315471305988</v>
      </c>
      <c r="J44" s="21">
        <v>1500</v>
      </c>
      <c r="K44" s="21">
        <f>F29</f>
        <v>2726.9964528694022</v>
      </c>
      <c r="L44" s="21">
        <f>L43+F44-K44</f>
        <v>132576.71858325831</v>
      </c>
      <c r="M44" s="65">
        <f>(L44/C44)*100</f>
        <v>64.696041635846569</v>
      </c>
      <c r="N44" s="37">
        <f>C44-L44</f>
        <v>72345.73916074165</v>
      </c>
      <c r="P44" s="20"/>
      <c r="Q44" s="16"/>
      <c r="R44" s="16"/>
    </row>
    <row r="45" spans="2:18" x14ac:dyDescent="0.25">
      <c r="B45" s="28">
        <v>2040</v>
      </c>
      <c r="C45" s="21">
        <f>C44+D45-H45-K45</f>
        <v>204532.61004799994</v>
      </c>
      <c r="D45" s="21">
        <f>(H45+K45)*0.972</f>
        <v>13533.284304000001</v>
      </c>
      <c r="E45" s="29">
        <v>100</v>
      </c>
      <c r="F45" s="21">
        <f>D45*(E45/100)</f>
        <v>13533.284304000001</v>
      </c>
      <c r="G45" s="21">
        <f>D45-F45</f>
        <v>0</v>
      </c>
      <c r="H45" s="21">
        <f>I45+J45</f>
        <v>10319.64967119219</v>
      </c>
      <c r="I45" s="21">
        <f>G30</f>
        <v>8819.64967119219</v>
      </c>
      <c r="J45" s="21">
        <v>1500</v>
      </c>
      <c r="K45" s="21">
        <f>F30</f>
        <v>3603.4823288078105</v>
      </c>
      <c r="L45" s="21">
        <f>L44+F45-K45</f>
        <v>142506.52055845049</v>
      </c>
      <c r="M45" s="65">
        <f>(L45/C45)*100</f>
        <v>69.67422971085486</v>
      </c>
      <c r="N45" s="37">
        <f>C45-L45</f>
        <v>62026.089489549457</v>
      </c>
      <c r="P45" s="20"/>
      <c r="Q45" s="16"/>
      <c r="R45" s="16"/>
    </row>
    <row r="46" spans="2:18" x14ac:dyDescent="0.25">
      <c r="B46" s="28">
        <v>2041</v>
      </c>
      <c r="C46" s="21">
        <f>C45+D46-H46-K46</f>
        <v>204157.48620799996</v>
      </c>
      <c r="D46" s="21">
        <f>(H46+K46)*0.972</f>
        <v>13022.156159999999</v>
      </c>
      <c r="E46" s="29">
        <v>100</v>
      </c>
      <c r="F46" s="21">
        <f>D46*(E46/100)</f>
        <v>13022.156159999999</v>
      </c>
      <c r="G46" s="21">
        <f>D46-F46</f>
        <v>0</v>
      </c>
      <c r="H46" s="21">
        <f>I46+J46</f>
        <v>9240.3667886618459</v>
      </c>
      <c r="I46" s="21">
        <f>G31</f>
        <v>7740.366788661845</v>
      </c>
      <c r="J46" s="21">
        <v>1500</v>
      </c>
      <c r="K46" s="21">
        <f>F31</f>
        <v>4156.9132113381538</v>
      </c>
      <c r="L46" s="21">
        <f>L45+F46-K46</f>
        <v>151371.76350711234</v>
      </c>
      <c r="M46" s="65">
        <f>(L46/C46)*100</f>
        <v>74.144605872003922</v>
      </c>
      <c r="N46" s="37">
        <f>C46-L46</f>
        <v>52785.722700887622</v>
      </c>
      <c r="P46" s="20"/>
      <c r="Q46" s="16"/>
      <c r="R46" s="16"/>
    </row>
    <row r="47" spans="2:18" x14ac:dyDescent="0.25">
      <c r="B47" s="28">
        <v>2042</v>
      </c>
      <c r="C47" s="21">
        <f>C46+D47-H47-K47</f>
        <v>203772.75511999999</v>
      </c>
      <c r="D47" s="21">
        <f>(H47+K47)*0.972</f>
        <v>13355.664912</v>
      </c>
      <c r="E47" s="29">
        <v>100</v>
      </c>
      <c r="F47" s="21">
        <f>D47*(E47/100)</f>
        <v>13355.664912</v>
      </c>
      <c r="G47" s="21">
        <f>D47-F47</f>
        <v>0</v>
      </c>
      <c r="H47" s="21">
        <f>I47+J47</f>
        <v>8686.5066481914691</v>
      </c>
      <c r="I47" s="21">
        <f>G32</f>
        <v>7186.5066481914682</v>
      </c>
      <c r="J47" s="21">
        <v>1500</v>
      </c>
      <c r="K47" s="21">
        <f>F32</f>
        <v>5053.8893518085306</v>
      </c>
      <c r="L47" s="21">
        <f>L46+F47-K47</f>
        <v>159673.53906730382</v>
      </c>
      <c r="M47" s="65">
        <f>(L47/C47)*100</f>
        <v>78.358629922470982</v>
      </c>
      <c r="N47" s="37">
        <f>C47-L47</f>
        <v>44099.216052696167</v>
      </c>
      <c r="P47" s="20"/>
      <c r="Q47" s="16"/>
      <c r="R47" s="16"/>
    </row>
    <row r="48" spans="2:18" x14ac:dyDescent="0.25">
      <c r="B48" s="28">
        <v>2043</v>
      </c>
      <c r="C48" s="21">
        <f>C47+D48-H48-K48</f>
        <v>203363.14860799999</v>
      </c>
      <c r="D48" s="21">
        <f>(H48+K48)*0.972</f>
        <v>14219.197488</v>
      </c>
      <c r="E48" s="29">
        <v>100</v>
      </c>
      <c r="F48" s="21">
        <f>D48*(E48/100)</f>
        <v>14219.197488</v>
      </c>
      <c r="G48" s="21">
        <f>D48-F48</f>
        <v>0</v>
      </c>
      <c r="H48" s="21">
        <f>I48+J48</f>
        <v>8324.3539839344085</v>
      </c>
      <c r="I48" s="21">
        <f>G33</f>
        <v>6824.3539839344076</v>
      </c>
      <c r="J48" s="21">
        <v>1500</v>
      </c>
      <c r="K48" s="21">
        <f>F33</f>
        <v>6304.4500160655925</v>
      </c>
      <c r="L48" s="21">
        <f>L47+F48-K48</f>
        <v>167588.28653923824</v>
      </c>
      <c r="M48" s="65">
        <f>(L48/C48)*100</f>
        <v>82.40838504240466</v>
      </c>
      <c r="N48" s="37">
        <f>C48-L48</f>
        <v>35774.862068761751</v>
      </c>
      <c r="P48" s="20"/>
      <c r="Q48" s="16"/>
      <c r="R48" s="16"/>
    </row>
    <row r="49" spans="2:22" x14ac:dyDescent="0.25">
      <c r="B49" s="28">
        <v>2044</v>
      </c>
      <c r="C49" s="21">
        <f>C48+D49-H49-K49</f>
        <v>202922.162048</v>
      </c>
      <c r="D49" s="21">
        <f>(H49+K49)*0.972</f>
        <v>15308.533439999999</v>
      </c>
      <c r="E49" s="29">
        <v>100</v>
      </c>
      <c r="F49" s="21">
        <f>D49*(E49/100)</f>
        <v>15308.533439999999</v>
      </c>
      <c r="G49" s="21">
        <f>D49-F49</f>
        <v>0</v>
      </c>
      <c r="H49" s="21">
        <f>I49+J49</f>
        <v>7896.8237959427079</v>
      </c>
      <c r="I49" s="21">
        <f>G34</f>
        <v>6396.8237959427079</v>
      </c>
      <c r="J49" s="21">
        <v>1500</v>
      </c>
      <c r="K49" s="21">
        <f>F34</f>
        <v>7852.6962040572926</v>
      </c>
      <c r="L49" s="21">
        <f>L48+F49-K49</f>
        <v>175044.12377518095</v>
      </c>
      <c r="M49" s="65">
        <f>(L49/C49)*100</f>
        <v>86.261708434673253</v>
      </c>
      <c r="N49" s="37">
        <f>C49-L49</f>
        <v>27878.038272819045</v>
      </c>
      <c r="P49" s="20"/>
      <c r="Q49" s="16"/>
      <c r="R49" s="16"/>
    </row>
    <row r="50" spans="2:22" x14ac:dyDescent="0.25">
      <c r="B50" s="28">
        <v>2045</v>
      </c>
      <c r="C50" s="21">
        <f>C49+D50-H50-K50</f>
        <v>202450.42140799999</v>
      </c>
      <c r="D50" s="21">
        <f>(H50+K50)*0.972</f>
        <v>16376.139359999997</v>
      </c>
      <c r="E50" s="29">
        <v>100</v>
      </c>
      <c r="F50" s="21">
        <f>D50*(E50/100)</f>
        <v>16376.139359999997</v>
      </c>
      <c r="G50" s="21">
        <f>D50-F50</f>
        <v>0</v>
      </c>
      <c r="H50" s="21">
        <f>I50+J50</f>
        <v>7250.3977180429574</v>
      </c>
      <c r="I50" s="21">
        <f>G35</f>
        <v>5750.3977180429574</v>
      </c>
      <c r="J50" s="21">
        <v>1500</v>
      </c>
      <c r="K50" s="21">
        <f>F35</f>
        <v>9597.4822819570418</v>
      </c>
      <c r="L50" s="21">
        <f>L49+F50-K50</f>
        <v>181822.7808532239</v>
      </c>
      <c r="M50" s="65">
        <f>(L50/C50)*100</f>
        <v>89.811016242240839</v>
      </c>
      <c r="N50" s="37">
        <f>C50-L50</f>
        <v>20627.640554776095</v>
      </c>
      <c r="P50" s="20"/>
      <c r="Q50" s="16"/>
      <c r="R50" s="16"/>
    </row>
    <row r="51" spans="2:22" x14ac:dyDescent="0.25">
      <c r="B51" s="28">
        <v>2046</v>
      </c>
      <c r="C51" s="21">
        <f>C50+D51-H51-K51</f>
        <v>201961.64355199999</v>
      </c>
      <c r="D51" s="21">
        <f>(H51+K51)*0.972</f>
        <v>16967.574143999998</v>
      </c>
      <c r="E51" s="29">
        <v>100</v>
      </c>
      <c r="F51" s="21">
        <f>D51*(E51/100)</f>
        <v>16967.574143999998</v>
      </c>
      <c r="G51" s="21">
        <f>D51-F51</f>
        <v>0</v>
      </c>
      <c r="H51" s="21">
        <f>I51+J51</f>
        <v>6242.9490998553756</v>
      </c>
      <c r="I51" s="21">
        <f>G36</f>
        <v>4742.9490998553756</v>
      </c>
      <c r="J51" s="21">
        <v>1500</v>
      </c>
      <c r="K51" s="21">
        <f>F36</f>
        <v>11213.402900144623</v>
      </c>
      <c r="L51" s="21">
        <f>L50+F51-K51</f>
        <v>187576.95209707925</v>
      </c>
      <c r="M51" s="65">
        <f>(L51/C51)*100</f>
        <v>92.877513174318636</v>
      </c>
      <c r="N51" s="37">
        <f>C51-L51</f>
        <v>14384.691454920743</v>
      </c>
      <c r="P51" s="20"/>
      <c r="Q51" s="16"/>
      <c r="R51" s="16"/>
      <c r="V51" s="16"/>
    </row>
    <row r="52" spans="2:22" x14ac:dyDescent="0.25">
      <c r="B52" s="28">
        <v>2047</v>
      </c>
      <c r="C52" s="21">
        <f>C51+D52-H52-K52</f>
        <v>201498.63924799999</v>
      </c>
      <c r="D52" s="21">
        <f>(H52+K52)*0.972</f>
        <v>16072.863696000002</v>
      </c>
      <c r="E52" s="29">
        <v>100</v>
      </c>
      <c r="F52" s="21">
        <f>D52*(E52/100)</f>
        <v>16072.863696000002</v>
      </c>
      <c r="G52" s="21">
        <f>D52-F52</f>
        <v>0</v>
      </c>
      <c r="H52" s="21">
        <f>I52+J52</f>
        <v>4759.6644110491288</v>
      </c>
      <c r="I52" s="21">
        <f>G37</f>
        <v>3259.6644110491288</v>
      </c>
      <c r="J52" s="21">
        <v>1500</v>
      </c>
      <c r="K52" s="21">
        <f>F37</f>
        <v>11776.203588950872</v>
      </c>
      <c r="L52" s="21">
        <f>L51+F52-K52</f>
        <v>191873.61220412838</v>
      </c>
      <c r="M52" s="65">
        <f>(L52/C52)*100</f>
        <v>95.2232793830308</v>
      </c>
      <c r="N52" s="37">
        <f>C52-L52</f>
        <v>9625.0270438716107</v>
      </c>
      <c r="P52" s="20"/>
      <c r="Q52" s="16"/>
      <c r="R52" s="16"/>
    </row>
    <row r="53" spans="2:22" x14ac:dyDescent="0.25">
      <c r="B53" s="28">
        <v>2048</v>
      </c>
      <c r="C53" s="21">
        <f>C52+D53-H53-K53</f>
        <v>201066.579536</v>
      </c>
      <c r="D53" s="21">
        <f>(H53+K53)*0.972</f>
        <v>14998.644288</v>
      </c>
      <c r="E53" s="29">
        <v>100</v>
      </c>
      <c r="F53" s="21">
        <f>D53*(E53/100)</f>
        <v>14998.644288</v>
      </c>
      <c r="G53" s="21">
        <f>D53-F53</f>
        <v>0</v>
      </c>
      <c r="H53" s="21">
        <f>I53+J53</f>
        <v>3358.998004170744</v>
      </c>
      <c r="I53" s="21">
        <f>G38</f>
        <v>1858.998004170744</v>
      </c>
      <c r="J53" s="21">
        <v>1500</v>
      </c>
      <c r="K53" s="21">
        <f>F38</f>
        <v>12071.705995829256</v>
      </c>
      <c r="L53" s="21">
        <f>L52+F53-K53</f>
        <v>194800.55049629914</v>
      </c>
      <c r="M53" s="65">
        <f>(L53/C53)*100</f>
        <v>96.883604896367686</v>
      </c>
      <c r="N53" s="37">
        <f>C53-L53</f>
        <v>6266.0290397008648</v>
      </c>
      <c r="P53" s="20"/>
      <c r="Q53" s="16"/>
      <c r="R53" s="16"/>
    </row>
    <row r="54" spans="2:22" x14ac:dyDescent="0.25">
      <c r="B54" s="28">
        <v>2049</v>
      </c>
      <c r="C54" s="21">
        <f>C53+D54-H54-K54</f>
        <v>200679.72560000001</v>
      </c>
      <c r="D54" s="21">
        <f>(H54+K54)*0.972</f>
        <v>13429.358064</v>
      </c>
      <c r="E54" s="29">
        <v>100</v>
      </c>
      <c r="F54" s="21">
        <f>D54*(E54/100)</f>
        <v>13429.358064</v>
      </c>
      <c r="G54" s="21">
        <f>D54-F54</f>
        <v>0</v>
      </c>
      <c r="H54" s="21">
        <f>I54+J54</f>
        <v>2082.8445397008327</v>
      </c>
      <c r="I54" s="21">
        <f>G39</f>
        <v>582.84453970083268</v>
      </c>
      <c r="J54" s="21">
        <v>1500</v>
      </c>
      <c r="K54" s="21">
        <f>F39</f>
        <v>11733.367460299167</v>
      </c>
      <c r="L54" s="21">
        <f>L53+F54-K54</f>
        <v>196496.54109999997</v>
      </c>
      <c r="M54" s="65">
        <f>(L54/C54)*100</f>
        <v>97.915492216519141</v>
      </c>
      <c r="N54" s="37">
        <f>C54-L54</f>
        <v>4183.1845000000321</v>
      </c>
      <c r="P54" s="20"/>
      <c r="Q54" s="16"/>
      <c r="R54" s="16"/>
    </row>
    <row r="55" spans="2:22" ht="15.75" thickBot="1" x14ac:dyDescent="0.3">
      <c r="B55" s="33">
        <v>2050</v>
      </c>
      <c r="C55" s="66">
        <f>C54+D55-H55-K55</f>
        <v>200409.24728000001</v>
      </c>
      <c r="D55" s="34">
        <f>(H55+K55)*0.972</f>
        <v>9389.4616799999985</v>
      </c>
      <c r="E55" s="35">
        <v>100</v>
      </c>
      <c r="F55" s="34">
        <f>D55*(E55/100)</f>
        <v>9389.4616799999985</v>
      </c>
      <c r="G55" s="34">
        <f>D55-F55</f>
        <v>0</v>
      </c>
      <c r="H55" s="34">
        <f>I55+J55</f>
        <v>1500</v>
      </c>
      <c r="I55" s="34">
        <f>G40</f>
        <v>0</v>
      </c>
      <c r="J55" s="34">
        <v>1500</v>
      </c>
      <c r="K55" s="34">
        <f>F40</f>
        <v>8159.94</v>
      </c>
      <c r="L55" s="34">
        <f>L54+F55-K55</f>
        <v>197726.06277999998</v>
      </c>
      <c r="M55" s="67">
        <f>(L55/C55)*100</f>
        <v>98.661147359008211</v>
      </c>
      <c r="N55" s="38">
        <f>C55-L55</f>
        <v>2683.1845000000321</v>
      </c>
      <c r="P55" s="20"/>
      <c r="Q55" s="16"/>
      <c r="R55" s="16"/>
    </row>
    <row r="56" spans="2:22" x14ac:dyDescent="0.25">
      <c r="G56" s="16"/>
      <c r="H56" s="16"/>
      <c r="I56" s="16"/>
      <c r="J56" s="16"/>
      <c r="K56" s="16"/>
      <c r="L56" s="16"/>
      <c r="M56" s="16"/>
      <c r="N56" s="16"/>
      <c r="O56" s="16"/>
      <c r="P56" s="20"/>
      <c r="Q56" s="16"/>
      <c r="R56" s="16"/>
    </row>
    <row r="57" spans="2:22" x14ac:dyDescent="0.25">
      <c r="G57" s="16"/>
      <c r="H57" s="16"/>
      <c r="I57" s="16"/>
      <c r="J57" s="16"/>
      <c r="K57" s="16"/>
      <c r="L57" s="16"/>
      <c r="M57" s="16"/>
      <c r="N57" s="16"/>
      <c r="O57" s="16"/>
      <c r="P57" s="20"/>
      <c r="Q57" s="16"/>
      <c r="R57" s="16"/>
      <c r="T57" t="s">
        <v>77</v>
      </c>
    </row>
    <row r="58" spans="2:22" x14ac:dyDescent="0.25">
      <c r="G58" s="16"/>
      <c r="H58" s="16"/>
      <c r="I58" s="16"/>
      <c r="J58" s="16"/>
      <c r="K58" s="16"/>
      <c r="L58" s="16"/>
      <c r="M58" s="16"/>
      <c r="N58" s="16"/>
      <c r="O58" s="16"/>
      <c r="P58" s="20"/>
      <c r="Q58" s="16"/>
      <c r="R58" s="16"/>
    </row>
    <row r="59" spans="2:22" x14ac:dyDescent="0.25">
      <c r="H59" s="16"/>
    </row>
    <row r="60" spans="2:22" x14ac:dyDescent="0.25">
      <c r="B60" s="29"/>
      <c r="C60" s="29"/>
      <c r="D60" s="29"/>
      <c r="E60" s="29"/>
      <c r="H60" s="16"/>
    </row>
    <row r="61" spans="2:22" x14ac:dyDescent="0.25">
      <c r="B61" s="29"/>
      <c r="C61" s="86"/>
      <c r="D61" s="86"/>
      <c r="E61" s="86"/>
    </row>
    <row r="62" spans="2:22" x14ac:dyDescent="0.25">
      <c r="B62" s="29"/>
      <c r="C62" s="86"/>
      <c r="D62" s="86"/>
      <c r="E62" s="86"/>
    </row>
    <row r="63" spans="2:22" x14ac:dyDescent="0.25">
      <c r="B63" s="29"/>
      <c r="C63" s="86"/>
      <c r="D63" s="86"/>
      <c r="E63" s="86"/>
    </row>
    <row r="64" spans="2:22" x14ac:dyDescent="0.25">
      <c r="B64" s="29"/>
      <c r="C64" s="87"/>
      <c r="D64" s="87"/>
      <c r="E64" s="87"/>
    </row>
  </sheetData>
  <mergeCells count="7">
    <mergeCell ref="H21:J21"/>
    <mergeCell ref="D5:H5"/>
    <mergeCell ref="J5:M5"/>
    <mergeCell ref="D6:E6"/>
    <mergeCell ref="F6:G6"/>
    <mergeCell ref="I6:J6"/>
    <mergeCell ref="K6:L6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Choosing LA</vt:lpstr>
      <vt:lpstr>West Lindsey Charger Forecast</vt:lpstr>
      <vt:lpstr>West Lindsey charging demand</vt:lpstr>
      <vt:lpstr>Bristol Charging Data</vt:lpstr>
      <vt:lpstr>Bristol EV Charger Forecast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McQuaid</dc:creator>
  <cp:lastModifiedBy>Thomas</cp:lastModifiedBy>
  <dcterms:created xsi:type="dcterms:W3CDTF">2024-01-16T14:18:20Z</dcterms:created>
  <dcterms:modified xsi:type="dcterms:W3CDTF">2024-04-03T15:29:20Z</dcterms:modified>
</cp:coreProperties>
</file>