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lewis.sms.ed.ac.uk\home\s1921836\Year 5\Thesis and Research Method Notes\Github Excel Sheets\"/>
    </mc:Choice>
  </mc:AlternateContent>
  <xr:revisionPtr revIDLastSave="0" documentId="13_ncr:1_{4DB869C6-1B7C-4A4C-919F-A974EFD82BD0}" xr6:coauthVersionLast="47" xr6:coauthVersionMax="47" xr10:uidLastSave="{00000000-0000-0000-0000-000000000000}"/>
  <bookViews>
    <workbookView xWindow="-120" yWindow="-120" windowWidth="29040" windowHeight="15840" activeTab="1" xr2:uid="{0534D34B-DDA1-4241-A40C-881CDF601600}"/>
  </bookViews>
  <sheets>
    <sheet name="Element 2 EV uptake Model" sheetId="12" r:id="rId1"/>
    <sheet name="veh 9901 data used in Element 2" sheetId="1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9" i="12" l="1"/>
  <c r="B60" i="12"/>
  <c r="B61" i="12"/>
  <c r="B62" i="12"/>
  <c r="B63" i="12"/>
  <c r="B64" i="12"/>
  <c r="B65" i="12"/>
  <c r="B66" i="12"/>
  <c r="B67" i="12"/>
  <c r="B68" i="12"/>
  <c r="B69" i="12"/>
  <c r="B70" i="12"/>
  <c r="B71" i="12"/>
  <c r="B72" i="12"/>
  <c r="B73" i="12"/>
  <c r="B58" i="12"/>
  <c r="E23" i="12" l="1"/>
  <c r="H81" i="11" l="1"/>
  <c r="H80" i="11"/>
  <c r="H79" i="11"/>
  <c r="G81" i="11"/>
  <c r="G80" i="11"/>
  <c r="G79" i="11"/>
  <c r="F81" i="11"/>
  <c r="F80" i="11"/>
  <c r="F79" i="11"/>
  <c r="D15" i="12" l="1"/>
  <c r="D14" i="12"/>
  <c r="D32" i="12" s="1"/>
  <c r="C14" i="12"/>
  <c r="C32" i="12" s="1"/>
  <c r="K53" i="12"/>
  <c r="L53" i="12" s="1"/>
  <c r="J53" i="12"/>
  <c r="N53" i="12" s="1"/>
  <c r="K52" i="12"/>
  <c r="L52" i="12" s="1"/>
  <c r="J52" i="12"/>
  <c r="N52" i="12" s="1"/>
  <c r="K49" i="12"/>
  <c r="L49" i="12" s="1"/>
  <c r="J49" i="12"/>
  <c r="N49" i="12" s="1"/>
  <c r="K48" i="12"/>
  <c r="L48" i="12" s="1"/>
  <c r="J48" i="12"/>
  <c r="N48" i="12" s="1"/>
  <c r="C40" i="12"/>
  <c r="H36" i="12"/>
  <c r="F36" i="12"/>
  <c r="E36" i="12"/>
  <c r="H35" i="12"/>
  <c r="F35" i="12"/>
  <c r="E35" i="12"/>
  <c r="H34" i="12"/>
  <c r="F34" i="12"/>
  <c r="E34" i="12"/>
  <c r="H33" i="12"/>
  <c r="F33" i="12"/>
  <c r="E33" i="12"/>
  <c r="D33" i="12"/>
  <c r="H32" i="12"/>
  <c r="F32" i="12"/>
  <c r="E32" i="12"/>
  <c r="H31" i="12"/>
  <c r="F31" i="12"/>
  <c r="E31" i="12"/>
  <c r="D31" i="12"/>
  <c r="H30" i="12"/>
  <c r="F30" i="12"/>
  <c r="E30" i="12"/>
  <c r="D30" i="12"/>
  <c r="H29" i="12"/>
  <c r="F29" i="12"/>
  <c r="E29" i="12"/>
  <c r="D29" i="12"/>
  <c r="H28" i="12"/>
  <c r="F28" i="12"/>
  <c r="E28" i="12"/>
  <c r="J54" i="12"/>
  <c r="N54" i="12" s="1"/>
  <c r="H27" i="12"/>
  <c r="F27" i="12"/>
  <c r="E27" i="12"/>
  <c r="D27" i="12"/>
  <c r="H26" i="12"/>
  <c r="F26" i="12"/>
  <c r="E26" i="12"/>
  <c r="D26" i="12"/>
  <c r="H25" i="12"/>
  <c r="F25" i="12"/>
  <c r="E25" i="12"/>
  <c r="D25" i="12"/>
  <c r="K50" i="12"/>
  <c r="H24" i="12"/>
  <c r="F24" i="12"/>
  <c r="E24" i="12"/>
  <c r="D24" i="12"/>
  <c r="H23" i="12"/>
  <c r="F23" i="12"/>
  <c r="D23" i="12"/>
  <c r="F22" i="12"/>
  <c r="D18" i="12"/>
  <c r="D36" i="12" s="1"/>
  <c r="C18" i="12"/>
  <c r="C36" i="12" s="1"/>
  <c r="D17" i="12"/>
  <c r="D35" i="12" s="1"/>
  <c r="C17" i="12"/>
  <c r="C35" i="12" s="1"/>
  <c r="D16" i="12"/>
  <c r="D34" i="12" s="1"/>
  <c r="C16" i="12"/>
  <c r="C34" i="12" s="1"/>
  <c r="C15" i="12"/>
  <c r="C33" i="12" s="1"/>
  <c r="C13" i="12"/>
  <c r="C31" i="12" s="1"/>
  <c r="C12" i="12"/>
  <c r="C30" i="12" s="1"/>
  <c r="C11" i="12"/>
  <c r="C29" i="12" s="1"/>
  <c r="D10" i="12"/>
  <c r="D28" i="12" s="1"/>
  <c r="C10" i="12"/>
  <c r="C28" i="12" s="1"/>
  <c r="C9" i="12"/>
  <c r="C27" i="12" s="1"/>
  <c r="C8" i="12"/>
  <c r="C26" i="12" s="1"/>
  <c r="C7" i="12"/>
  <c r="C25" i="12" s="1"/>
  <c r="C6" i="12"/>
  <c r="C24" i="12" s="1"/>
  <c r="C5" i="12"/>
  <c r="C23" i="12" s="1"/>
  <c r="F4" i="12"/>
  <c r="J46" i="12" l="1"/>
  <c r="N46" i="12" s="1"/>
  <c r="K41" i="12"/>
  <c r="L41" i="12" s="1"/>
  <c r="K46" i="12"/>
  <c r="L46" i="12" s="1"/>
  <c r="J50" i="12"/>
  <c r="N50" i="12" s="1"/>
  <c r="C42" i="12"/>
  <c r="E60" i="12" s="1"/>
  <c r="K45" i="12"/>
  <c r="L45" i="12" s="1"/>
  <c r="J42" i="12"/>
  <c r="N42" i="12" s="1"/>
  <c r="L50" i="12"/>
  <c r="C45" i="12"/>
  <c r="H61" i="12" s="1"/>
  <c r="K43" i="12"/>
  <c r="L43" i="12" s="1"/>
  <c r="C49" i="12"/>
  <c r="M73" i="12" s="1"/>
  <c r="C43" i="12"/>
  <c r="F60" i="12" s="1"/>
  <c r="J45" i="12"/>
  <c r="N45" i="12" s="1"/>
  <c r="J43" i="12"/>
  <c r="N43" i="12" s="1"/>
  <c r="C48" i="12"/>
  <c r="L59" i="12" s="1"/>
  <c r="K54" i="12"/>
  <c r="L54" i="12" s="1"/>
  <c r="J47" i="12"/>
  <c r="N47" i="12" s="1"/>
  <c r="K47" i="12"/>
  <c r="L47" i="12" s="1"/>
  <c r="J51" i="12"/>
  <c r="L51" i="12" s="1"/>
  <c r="C52" i="12"/>
  <c r="P70" i="12" s="1"/>
  <c r="K42" i="12"/>
  <c r="L42" i="12" s="1"/>
  <c r="K51" i="12"/>
  <c r="N51" i="12" s="1"/>
  <c r="C53" i="12"/>
  <c r="Q73" i="12" s="1"/>
  <c r="K44" i="12"/>
  <c r="L44" i="12" s="1"/>
  <c r="C44" i="12"/>
  <c r="G71" i="12" s="1"/>
  <c r="C41" i="12"/>
  <c r="C47" i="12"/>
  <c r="J58" i="12" s="1"/>
  <c r="C51" i="12"/>
  <c r="O67" i="12" s="1"/>
  <c r="C50" i="12"/>
  <c r="N69" i="12" s="1"/>
  <c r="C54" i="12"/>
  <c r="R68" i="12" s="1"/>
  <c r="C46" i="12"/>
  <c r="I69" i="12" s="1"/>
  <c r="J41" i="12"/>
  <c r="N41" i="12" s="1"/>
  <c r="J44" i="12"/>
  <c r="N44" i="12" s="1"/>
  <c r="D68" i="12"/>
  <c r="H72" i="12"/>
  <c r="H73" i="12"/>
  <c r="H25" i="11"/>
  <c r="H24" i="11"/>
  <c r="H23" i="11"/>
  <c r="H13" i="11"/>
  <c r="H12" i="11"/>
  <c r="H11" i="11"/>
  <c r="H7" i="11"/>
  <c r="H6" i="11"/>
  <c r="H5" i="11"/>
  <c r="E75" i="11"/>
  <c r="G75" i="11" s="1"/>
  <c r="D75" i="11"/>
  <c r="F75" i="11" s="1"/>
  <c r="H74" i="11"/>
  <c r="G74" i="11"/>
  <c r="E74" i="11"/>
  <c r="D74" i="11"/>
  <c r="F74" i="11" s="1"/>
  <c r="E73" i="11"/>
  <c r="G73" i="11" s="1"/>
  <c r="D73" i="11"/>
  <c r="H73" i="11" s="1"/>
  <c r="E69" i="11"/>
  <c r="G69" i="11" s="1"/>
  <c r="D69" i="11"/>
  <c r="H69" i="11" s="1"/>
  <c r="E68" i="11"/>
  <c r="G68" i="11" s="1"/>
  <c r="D68" i="11"/>
  <c r="F68" i="11" s="1"/>
  <c r="H67" i="11"/>
  <c r="G67" i="11"/>
  <c r="E67" i="11"/>
  <c r="D67" i="11"/>
  <c r="F67" i="11" s="1"/>
  <c r="E63" i="11"/>
  <c r="G63" i="11" s="1"/>
  <c r="D63" i="11"/>
  <c r="H63" i="11" s="1"/>
  <c r="E62" i="11"/>
  <c r="G62" i="11" s="1"/>
  <c r="D62" i="11"/>
  <c r="H62" i="11" s="1"/>
  <c r="E61" i="11"/>
  <c r="G61" i="11" s="1"/>
  <c r="D61" i="11"/>
  <c r="F61" i="11" s="1"/>
  <c r="G57" i="11"/>
  <c r="E57" i="11"/>
  <c r="D57" i="11"/>
  <c r="F57" i="11" s="1"/>
  <c r="E56" i="11"/>
  <c r="G56" i="11" s="1"/>
  <c r="D56" i="11"/>
  <c r="F56" i="11" s="1"/>
  <c r="E55" i="11"/>
  <c r="G55" i="11" s="1"/>
  <c r="H55" i="11" s="1"/>
  <c r="D55" i="11"/>
  <c r="F55" i="11" s="1"/>
  <c r="H50" i="11"/>
  <c r="G50" i="11"/>
  <c r="F50" i="11"/>
  <c r="F49" i="11"/>
  <c r="E49" i="11"/>
  <c r="G49" i="11" s="1"/>
  <c r="H49" i="11" s="1"/>
  <c r="D49" i="11"/>
  <c r="E48" i="11"/>
  <c r="G48" i="11" s="1"/>
  <c r="D48" i="11"/>
  <c r="F48" i="11" s="1"/>
  <c r="G44" i="11"/>
  <c r="D44" i="11"/>
  <c r="F44" i="11" s="1"/>
  <c r="F43" i="11"/>
  <c r="E43" i="11"/>
  <c r="G43" i="11" s="1"/>
  <c r="H43" i="11" s="1"/>
  <c r="D43" i="11"/>
  <c r="E42" i="11"/>
  <c r="G42" i="11" s="1"/>
  <c r="D42" i="11"/>
  <c r="F42" i="11" s="1"/>
  <c r="G38" i="11"/>
  <c r="H38" i="11" s="1"/>
  <c r="F38" i="11"/>
  <c r="E38" i="11"/>
  <c r="F37" i="11"/>
  <c r="E37" i="11"/>
  <c r="G37" i="11" s="1"/>
  <c r="H37" i="11" s="1"/>
  <c r="D37" i="11"/>
  <c r="E36" i="11"/>
  <c r="G36" i="11" s="1"/>
  <c r="D36" i="11"/>
  <c r="F36" i="11" s="1"/>
  <c r="E31" i="11"/>
  <c r="G31" i="11" s="1"/>
  <c r="D31" i="11"/>
  <c r="F31" i="11" s="1"/>
  <c r="F30" i="11"/>
  <c r="E30" i="11"/>
  <c r="G30" i="11" s="1"/>
  <c r="H30" i="11" s="1"/>
  <c r="D30" i="11"/>
  <c r="F29" i="11"/>
  <c r="E29" i="11"/>
  <c r="G29" i="11" s="1"/>
  <c r="H29" i="11" s="1"/>
  <c r="D29" i="11"/>
  <c r="E25" i="11"/>
  <c r="G25" i="11" s="1"/>
  <c r="D25" i="11"/>
  <c r="F25" i="11" s="1"/>
  <c r="G24" i="11"/>
  <c r="E24" i="11"/>
  <c r="D24" i="11"/>
  <c r="F24" i="11" s="1"/>
  <c r="F23" i="11"/>
  <c r="E23" i="11"/>
  <c r="G23" i="11" s="1"/>
  <c r="D23" i="11"/>
  <c r="E19" i="11"/>
  <c r="G19" i="11" s="1"/>
  <c r="D19" i="11"/>
  <c r="F19" i="11" s="1"/>
  <c r="G18" i="11"/>
  <c r="E18" i="11"/>
  <c r="D18" i="11"/>
  <c r="F18" i="11" s="1"/>
  <c r="G17" i="11"/>
  <c r="H17" i="11" s="1"/>
  <c r="F17" i="11"/>
  <c r="E17" i="11"/>
  <c r="D17" i="11"/>
  <c r="F13" i="11"/>
  <c r="E13" i="11"/>
  <c r="G13" i="11" s="1"/>
  <c r="G12" i="11"/>
  <c r="E12" i="11"/>
  <c r="D12" i="11"/>
  <c r="F12" i="11" s="1"/>
  <c r="E11" i="11"/>
  <c r="G11" i="11" s="1"/>
  <c r="D11" i="11"/>
  <c r="F11" i="11" s="1"/>
  <c r="G7" i="11"/>
  <c r="E7" i="11"/>
  <c r="D7" i="11"/>
  <c r="F7" i="11" s="1"/>
  <c r="F6" i="11"/>
  <c r="E6" i="11"/>
  <c r="G6" i="11" s="1"/>
  <c r="D6" i="11"/>
  <c r="E5" i="11"/>
  <c r="G5" i="11" s="1"/>
  <c r="D5" i="11"/>
  <c r="F5" i="11" s="1"/>
  <c r="F58" i="12" l="1"/>
  <c r="F63" i="12"/>
  <c r="P68" i="12"/>
  <c r="E67" i="12"/>
  <c r="E66" i="12"/>
  <c r="P67" i="12"/>
  <c r="E65" i="12"/>
  <c r="J71" i="12"/>
  <c r="R58" i="12"/>
  <c r="E70" i="12"/>
  <c r="R59" i="12"/>
  <c r="E59" i="12"/>
  <c r="N59" i="12"/>
  <c r="E71" i="12"/>
  <c r="N58" i="12"/>
  <c r="M64" i="12"/>
  <c r="J61" i="12"/>
  <c r="J67" i="12"/>
  <c r="D70" i="12"/>
  <c r="D58" i="12"/>
  <c r="J66" i="12"/>
  <c r="E61" i="12"/>
  <c r="D66" i="12"/>
  <c r="D65" i="12"/>
  <c r="E69" i="12"/>
  <c r="J64" i="12"/>
  <c r="H58" i="12"/>
  <c r="Q58" i="12"/>
  <c r="M62" i="12"/>
  <c r="J72" i="12"/>
  <c r="D71" i="12"/>
  <c r="E73" i="12"/>
  <c r="J63" i="12"/>
  <c r="M61" i="12"/>
  <c r="E72" i="12"/>
  <c r="J62" i="12"/>
  <c r="L58" i="12"/>
  <c r="J68" i="12"/>
  <c r="D61" i="12"/>
  <c r="H59" i="12"/>
  <c r="E62" i="12"/>
  <c r="D72" i="12"/>
  <c r="E58" i="12"/>
  <c r="H64" i="12"/>
  <c r="O58" i="12"/>
  <c r="M71" i="12"/>
  <c r="M67" i="12"/>
  <c r="E68" i="12"/>
  <c r="J60" i="12"/>
  <c r="E84" i="12" s="1"/>
  <c r="I59" i="12"/>
  <c r="J73" i="12"/>
  <c r="J69" i="12"/>
  <c r="O59" i="12"/>
  <c r="Q64" i="12"/>
  <c r="J65" i="12"/>
  <c r="D64" i="12"/>
  <c r="M65" i="12"/>
  <c r="E63" i="12"/>
  <c r="J59" i="12"/>
  <c r="I58" i="12"/>
  <c r="J70" i="12"/>
  <c r="E64" i="12"/>
  <c r="Q59" i="12"/>
  <c r="P58" i="12"/>
  <c r="G58" i="12"/>
  <c r="Q63" i="12"/>
  <c r="M58" i="12"/>
  <c r="Q68" i="12"/>
  <c r="P60" i="12"/>
  <c r="E90" i="12" s="1"/>
  <c r="P65" i="12"/>
  <c r="Q69" i="12"/>
  <c r="F71" i="12"/>
  <c r="P63" i="12"/>
  <c r="D60" i="12"/>
  <c r="E78" i="12" s="1"/>
  <c r="R73" i="12"/>
  <c r="G64" i="12"/>
  <c r="G61" i="12"/>
  <c r="H67" i="12"/>
  <c r="F73" i="12"/>
  <c r="P62" i="12"/>
  <c r="P73" i="12"/>
  <c r="P71" i="12"/>
  <c r="F70" i="12"/>
  <c r="H62" i="12"/>
  <c r="O68" i="12"/>
  <c r="M60" i="12"/>
  <c r="E87" i="12" s="1"/>
  <c r="M59" i="12"/>
  <c r="F67" i="12"/>
  <c r="F72" i="12"/>
  <c r="G65" i="12"/>
  <c r="F59" i="12"/>
  <c r="P59" i="12"/>
  <c r="O64" i="12"/>
  <c r="G60" i="12"/>
  <c r="D81" i="12" s="1"/>
  <c r="F62" i="12"/>
  <c r="P64" i="12"/>
  <c r="P69" i="12"/>
  <c r="H66" i="12"/>
  <c r="H71" i="12"/>
  <c r="P61" i="12"/>
  <c r="P72" i="12"/>
  <c r="F66" i="12"/>
  <c r="H63" i="12"/>
  <c r="R72" i="12"/>
  <c r="G62" i="12"/>
  <c r="G67" i="12"/>
  <c r="F61" i="12"/>
  <c r="H65" i="12"/>
  <c r="Q72" i="12"/>
  <c r="P66" i="12"/>
  <c r="D59" i="12"/>
  <c r="R65" i="12"/>
  <c r="G72" i="12"/>
  <c r="R61" i="12"/>
  <c r="H70" i="12"/>
  <c r="M66" i="12"/>
  <c r="D69" i="12"/>
  <c r="I60" i="12"/>
  <c r="E83" i="12" s="1"/>
  <c r="M68" i="12"/>
  <c r="F64" i="12"/>
  <c r="F68" i="12"/>
  <c r="H60" i="12"/>
  <c r="M45" i="12" s="1"/>
  <c r="M69" i="12"/>
  <c r="F65" i="12"/>
  <c r="F69" i="12"/>
  <c r="H69" i="12"/>
  <c r="H68" i="12"/>
  <c r="M63" i="12"/>
  <c r="G69" i="12"/>
  <c r="M72" i="12"/>
  <c r="G68" i="12"/>
  <c r="M70" i="12"/>
  <c r="G66" i="12"/>
  <c r="G59" i="12"/>
  <c r="R66" i="12"/>
  <c r="G63" i="12"/>
  <c r="I61" i="12"/>
  <c r="G73" i="12"/>
  <c r="G70" i="12"/>
  <c r="R63" i="12"/>
  <c r="R69" i="12"/>
  <c r="L63" i="12"/>
  <c r="N68" i="12"/>
  <c r="L60" i="12"/>
  <c r="M48" i="12" s="1"/>
  <c r="D73" i="12"/>
  <c r="Q60" i="12"/>
  <c r="E91" i="12" s="1"/>
  <c r="O66" i="12"/>
  <c r="N65" i="12"/>
  <c r="R64" i="12"/>
  <c r="O63" i="12"/>
  <c r="N67" i="12"/>
  <c r="N63" i="12"/>
  <c r="L71" i="12"/>
  <c r="O62" i="12"/>
  <c r="N62" i="12"/>
  <c r="D67" i="12"/>
  <c r="L67" i="12"/>
  <c r="O73" i="12"/>
  <c r="N61" i="12"/>
  <c r="Q70" i="12"/>
  <c r="R60" i="12"/>
  <c r="N64" i="12"/>
  <c r="N66" i="12"/>
  <c r="Q67" i="12"/>
  <c r="I67" i="12"/>
  <c r="L65" i="12"/>
  <c r="L64" i="12"/>
  <c r="L69" i="12"/>
  <c r="L68" i="12"/>
  <c r="Q65" i="12"/>
  <c r="O61" i="12"/>
  <c r="N72" i="12"/>
  <c r="R71" i="12"/>
  <c r="N73" i="12"/>
  <c r="L66" i="12"/>
  <c r="Q66" i="12"/>
  <c r="Q71" i="12"/>
  <c r="O65" i="12"/>
  <c r="O72" i="12"/>
  <c r="N60" i="12"/>
  <c r="D88" i="12" s="1"/>
  <c r="R62" i="12"/>
  <c r="R70" i="12"/>
  <c r="L70" i="12"/>
  <c r="Q62" i="12"/>
  <c r="L72" i="12"/>
  <c r="O70" i="12"/>
  <c r="O60" i="12"/>
  <c r="E89" i="12" s="1"/>
  <c r="N71" i="12"/>
  <c r="D63" i="12"/>
  <c r="D62" i="12"/>
  <c r="Q61" i="12"/>
  <c r="I62" i="12"/>
  <c r="I73" i="12"/>
  <c r="O69" i="12"/>
  <c r="O71" i="12"/>
  <c r="N70" i="12"/>
  <c r="R67" i="12"/>
  <c r="L62" i="12"/>
  <c r="L61" i="12"/>
  <c r="L73" i="12"/>
  <c r="E79" i="12"/>
  <c r="D79" i="12"/>
  <c r="M42" i="12"/>
  <c r="O42" i="12" s="1"/>
  <c r="D87" i="12"/>
  <c r="M49" i="12"/>
  <c r="I66" i="12"/>
  <c r="I65" i="12"/>
  <c r="E80" i="12"/>
  <c r="D80" i="12"/>
  <c r="M43" i="12"/>
  <c r="O43" i="12" s="1"/>
  <c r="I64" i="12"/>
  <c r="I63" i="12"/>
  <c r="I68" i="12"/>
  <c r="I72" i="12"/>
  <c r="I71" i="12"/>
  <c r="I70" i="12"/>
  <c r="H48" i="11"/>
  <c r="H19" i="11"/>
  <c r="H31" i="11"/>
  <c r="H56" i="11"/>
  <c r="H44" i="11"/>
  <c r="H18" i="11"/>
  <c r="H42" i="11"/>
  <c r="H57" i="11"/>
  <c r="H36" i="11"/>
  <c r="H75" i="11"/>
  <c r="F69" i="11"/>
  <c r="F62" i="11"/>
  <c r="H61" i="11"/>
  <c r="F63" i="11"/>
  <c r="F73" i="11"/>
  <c r="H68" i="11"/>
  <c r="D82" i="12" l="1"/>
  <c r="E86" i="12"/>
  <c r="D90" i="12"/>
  <c r="M44" i="12"/>
  <c r="M41" i="12"/>
  <c r="O41" i="12" s="1"/>
  <c r="D78" i="12"/>
  <c r="M52" i="12"/>
  <c r="O52" i="12" s="1"/>
  <c r="E81" i="12"/>
  <c r="M53" i="12"/>
  <c r="P53" i="12" s="1"/>
  <c r="M46" i="12"/>
  <c r="D86" i="12"/>
  <c r="D91" i="12"/>
  <c r="E82" i="12"/>
  <c r="D83" i="12"/>
  <c r="M47" i="12"/>
  <c r="O47" i="12" s="1"/>
  <c r="D89" i="12"/>
  <c r="M51" i="12"/>
  <c r="O51" i="12" s="1"/>
  <c r="E88" i="12"/>
  <c r="M50" i="12"/>
  <c r="O50" i="12" s="1"/>
  <c r="D84" i="12"/>
  <c r="O48" i="12"/>
  <c r="P48" i="12"/>
  <c r="P42" i="12"/>
  <c r="O45" i="12"/>
  <c r="P45" i="12"/>
  <c r="E92" i="12"/>
  <c r="D92" i="12"/>
  <c r="M54" i="12"/>
  <c r="O44" i="12"/>
  <c r="P44" i="12"/>
  <c r="O49" i="12"/>
  <c r="P49" i="12"/>
  <c r="O46" i="12"/>
  <c r="P46" i="12"/>
  <c r="P41" i="12"/>
  <c r="P43" i="12"/>
  <c r="O53" i="12" l="1"/>
  <c r="P51" i="12"/>
  <c r="P52" i="12"/>
  <c r="P47" i="12"/>
  <c r="P50" i="12"/>
  <c r="O54" i="12"/>
  <c r="P54"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MCQUAID Thomas</author>
  </authors>
  <commentList>
    <comment ref="C3" authorId="0" shapeId="0" xr:uid="{72347046-C934-4E1D-9AE3-065F10F85FCE}">
      <text>
        <r>
          <rPr>
            <b/>
            <sz val="9"/>
            <color indexed="81"/>
            <rFont val="Tahoma"/>
            <family val="2"/>
          </rPr>
          <t>MCQUAID Thomas:</t>
        </r>
        <r>
          <rPr>
            <sz val="9"/>
            <color indexed="81"/>
            <rFont val="Tahoma"/>
            <family val="2"/>
          </rPr>
          <t xml:space="preserve">
Method for this explained in section 3.2.2.1. using GOV.UK (2021) and Office for National Statistcs (2023a) to calibrate this. Then data is taken from Ofice for National Statistics Cencuse Map (2023b)</t>
        </r>
      </text>
    </comment>
    <comment ref="D3" authorId="0" shapeId="0" xr:uid="{0191100D-C329-4E55-ABD1-DCDA157AD1B9}">
      <text>
        <r>
          <rPr>
            <b/>
            <sz val="9"/>
            <color indexed="81"/>
            <rFont val="Tahoma"/>
            <family val="2"/>
          </rPr>
          <t>MCQUAID Thomas:</t>
        </r>
        <r>
          <rPr>
            <sz val="9"/>
            <color indexed="81"/>
            <rFont val="Tahoma"/>
            <family val="2"/>
          </rPr>
          <t xml:space="preserve">
Data from cencus map from Office for National Statistics (2023b)</t>
        </r>
      </text>
    </comment>
    <comment ref="E3" authorId="0" shapeId="0" xr:uid="{56C0BA20-A7E9-4AC9-BD03-663721B8831B}">
      <text>
        <r>
          <rPr>
            <b/>
            <sz val="9"/>
            <color indexed="81"/>
            <rFont val="Tahoma"/>
            <family val="2"/>
          </rPr>
          <t>MCQUAID Thomas:</t>
        </r>
        <r>
          <rPr>
            <sz val="9"/>
            <color indexed="81"/>
            <rFont val="Tahoma"/>
            <family val="2"/>
          </rPr>
          <t xml:space="preserve">
From Regional gross disposable household income UK map Data from cencus map from Office for National Statistics (2021)</t>
        </r>
      </text>
    </comment>
    <comment ref="F3" authorId="0" shapeId="0" xr:uid="{CF08C870-2B3F-4238-B4AD-32D24C0B99BC}">
      <text>
        <r>
          <rPr>
            <b/>
            <sz val="9"/>
            <color indexed="81"/>
            <rFont val="Tahoma"/>
            <family val="2"/>
          </rPr>
          <t>MCQUAID Thomas:</t>
        </r>
        <r>
          <rPr>
            <sz val="9"/>
            <color indexed="81"/>
            <rFont val="Tahoma"/>
            <family val="2"/>
          </rPr>
          <t xml:space="preserve">
Person per km^2
From cencus map Data from cencus map from Office for National Statistics (2023b)</t>
        </r>
      </text>
    </comment>
    <comment ref="H3" authorId="0" shapeId="0" xr:uid="{FE25FC07-4F0E-4221-B3FC-34ED8A8FE052}">
      <text>
        <r>
          <rPr>
            <b/>
            <sz val="9"/>
            <color indexed="81"/>
            <rFont val="Tahoma"/>
            <family val="2"/>
          </rPr>
          <t>MCQUAID Thomas:</t>
        </r>
        <r>
          <rPr>
            <sz val="9"/>
            <color indexed="81"/>
            <rFont val="Tahoma"/>
            <family val="2"/>
          </rPr>
          <t xml:space="preserve">
Taken from GOV.UK (2023d) Table 2a
</t>
        </r>
      </text>
    </comment>
    <comment ref="B4" authorId="0" shapeId="0" xr:uid="{8A4BE8EC-2893-4630-9A13-D258DD1E0B75}">
      <text>
        <r>
          <rPr>
            <b/>
            <sz val="9"/>
            <color indexed="81"/>
            <rFont val="Tahoma"/>
            <family val="2"/>
          </rPr>
          <t>MCQUAID Thomas:</t>
        </r>
        <r>
          <rPr>
            <sz val="9"/>
            <color indexed="81"/>
            <rFont val="Tahoma"/>
            <family val="2"/>
          </rPr>
          <t xml:space="preserve">
UK average taken from England and Wales average as access to Scotland and NI data is lacking </t>
        </r>
      </text>
    </comment>
    <comment ref="D4" authorId="0" shapeId="0" xr:uid="{FB7C974F-7634-44DB-A49E-1ECDF157EB82}">
      <text>
        <r>
          <rPr>
            <b/>
            <sz val="9"/>
            <color indexed="81"/>
            <rFont val="Tahoma"/>
            <family val="2"/>
          </rPr>
          <t>MCQUAID Thomas:</t>
        </r>
        <r>
          <rPr>
            <sz val="9"/>
            <color indexed="81"/>
            <rFont val="Tahoma"/>
            <family val="2"/>
          </rPr>
          <t xml:space="preserve">
From England and Wales which accounts for 90% population so good representative</t>
        </r>
      </text>
    </comment>
    <comment ref="F21" authorId="0" shapeId="0" xr:uid="{4C3B3290-55EF-4C98-809E-699E809E8EB6}">
      <text>
        <r>
          <rPr>
            <b/>
            <sz val="9"/>
            <color indexed="81"/>
            <rFont val="Tahoma"/>
            <family val="2"/>
          </rPr>
          <t>MCQUAID Thomas:</t>
        </r>
        <r>
          <rPr>
            <sz val="9"/>
            <color indexed="81"/>
            <rFont val="Tahoma"/>
            <family val="2"/>
          </rPr>
          <t xml:space="preserve">
Person per km^2
</t>
        </r>
      </text>
    </comment>
    <comment ref="D22" authorId="0" shapeId="0" xr:uid="{7DAC6724-C6C2-4A4E-A58D-A73972A43DF4}">
      <text>
        <r>
          <rPr>
            <b/>
            <sz val="9"/>
            <color indexed="81"/>
            <rFont val="Tahoma"/>
            <family val="2"/>
          </rPr>
          <t>MCQUAID Thomas:</t>
        </r>
        <r>
          <rPr>
            <sz val="9"/>
            <color indexed="81"/>
            <rFont val="Tahoma"/>
            <family val="2"/>
          </rPr>
          <t xml:space="preserve">
From England and Wales which accounts for 90% population so good representative</t>
        </r>
      </text>
    </comment>
    <comment ref="C23" authorId="0" shapeId="0" xr:uid="{A3CC7F69-000D-48BF-92E8-F6723E6EBF43}">
      <text>
        <r>
          <rPr>
            <b/>
            <sz val="9"/>
            <color indexed="81"/>
            <rFont val="Tahoma"/>
            <family val="2"/>
          </rPr>
          <t>MCQUAID Thomas:</t>
        </r>
        <r>
          <rPr>
            <sz val="9"/>
            <color indexed="81"/>
            <rFont val="Tahoma"/>
            <family val="2"/>
          </rPr>
          <t xml:space="preserve">
Census Map!</t>
        </r>
      </text>
    </comment>
    <comment ref="G23" authorId="0" shapeId="0" xr:uid="{141267A2-2D50-4868-90CC-5E21D6A18D6D}">
      <text>
        <r>
          <rPr>
            <b/>
            <sz val="9"/>
            <color indexed="81"/>
            <rFont val="Tahoma"/>
            <family val="2"/>
          </rPr>
          <t>MCQUAID Thomas:</t>
        </r>
        <r>
          <rPr>
            <sz val="9"/>
            <color indexed="81"/>
            <rFont val="Tahoma"/>
            <family val="2"/>
          </rPr>
          <t xml:space="preserve">
Urban City</t>
        </r>
      </text>
    </comment>
    <comment ref="G24" authorId="0" shapeId="0" xr:uid="{01D0D568-214A-4659-963F-ABB30DC84086}">
      <text>
        <r>
          <rPr>
            <b/>
            <sz val="9"/>
            <color indexed="81"/>
            <rFont val="Tahoma"/>
            <family val="2"/>
          </rPr>
          <t>MCQUAID Thomas:</t>
        </r>
        <r>
          <rPr>
            <sz val="9"/>
            <color indexed="81"/>
            <rFont val="Tahoma"/>
            <family val="2"/>
          </rPr>
          <t xml:space="preserve">
Urban City
</t>
        </r>
      </text>
    </comment>
    <comment ref="G27" authorId="0" shapeId="0" xr:uid="{B0AE982E-AD60-421C-9EAB-654A5E42D666}">
      <text>
        <r>
          <rPr>
            <b/>
            <sz val="9"/>
            <color indexed="81"/>
            <rFont val="Tahoma"/>
            <family val="2"/>
          </rPr>
          <t>MCQUAID Thomas:</t>
        </r>
        <r>
          <rPr>
            <sz val="9"/>
            <color indexed="81"/>
            <rFont val="Tahoma"/>
            <family val="2"/>
          </rPr>
          <t xml:space="preserve">
Rural Fringe</t>
        </r>
      </text>
    </comment>
    <comment ref="G28" authorId="0" shapeId="0" xr:uid="{C1572174-594A-4ABD-B2C1-A32DF436B860}">
      <text>
        <r>
          <rPr>
            <b/>
            <sz val="9"/>
            <color indexed="81"/>
            <rFont val="Tahoma"/>
            <family val="2"/>
          </rPr>
          <t>MCQUAID Thomas:</t>
        </r>
        <r>
          <rPr>
            <sz val="9"/>
            <color indexed="81"/>
            <rFont val="Tahoma"/>
            <family val="2"/>
          </rPr>
          <t xml:space="preserve">
Rural Fringe</t>
        </r>
      </text>
    </comment>
    <comment ref="C40" authorId="0" shapeId="0" xr:uid="{36E04671-02AF-4402-B9CF-3721E811F7DF}">
      <text>
        <r>
          <rPr>
            <b/>
            <sz val="9"/>
            <color indexed="81"/>
            <rFont val="Tahoma"/>
            <family val="2"/>
          </rPr>
          <t>MCQUAID Thomas:</t>
        </r>
        <r>
          <rPr>
            <sz val="9"/>
            <color indexed="81"/>
            <rFont val="Tahoma"/>
            <family val="2"/>
          </rPr>
          <t xml:space="preserve">
Census Map!</t>
        </r>
      </text>
    </comment>
    <comment ref="C41" authorId="0" shapeId="0" xr:uid="{B35EBDDD-DF53-4E51-8645-82EC5860848F}">
      <text>
        <r>
          <rPr>
            <b/>
            <sz val="9"/>
            <color indexed="81"/>
            <rFont val="Tahoma"/>
            <family val="2"/>
          </rPr>
          <t>MCQUAID Thomas:</t>
        </r>
        <r>
          <rPr>
            <sz val="9"/>
            <color indexed="81"/>
            <rFont val="Tahoma"/>
            <family val="2"/>
          </rPr>
          <t xml:space="preserve">
Census Map!</t>
        </r>
      </text>
    </comment>
  </commentList>
</comments>
</file>

<file path=xl/sharedStrings.xml><?xml version="1.0" encoding="utf-8"?>
<sst xmlns="http://schemas.openxmlformats.org/spreadsheetml/2006/main" count="227" uniqueCount="62">
  <si>
    <t>Location</t>
  </si>
  <si>
    <t>Manchester</t>
  </si>
  <si>
    <t>Bristol</t>
  </si>
  <si>
    <t>United Kingdom</t>
  </si>
  <si>
    <t>Population Density</t>
  </si>
  <si>
    <t>% Private Parking</t>
  </si>
  <si>
    <t>% Home owners</t>
  </si>
  <si>
    <t>Chagers/100,000 at end of 2020</t>
  </si>
  <si>
    <t>Buckinghamshire</t>
  </si>
  <si>
    <t>Gross Disposable Household income per head (2020)</t>
  </si>
  <si>
    <t>Neath Port Talbot</t>
  </si>
  <si>
    <t>Rochdale</t>
  </si>
  <si>
    <t>Cotswolds</t>
  </si>
  <si>
    <t>Warick</t>
  </si>
  <si>
    <t>Year</t>
  </si>
  <si>
    <t>Total</t>
  </si>
  <si>
    <t>BEV</t>
  </si>
  <si>
    <t>PHEV</t>
  </si>
  <si>
    <t>Neath Port Talbort</t>
  </si>
  <si>
    <t>Nottingham</t>
  </si>
  <si>
    <t>Cannock Chase</t>
  </si>
  <si>
    <t>Allerdale</t>
  </si>
  <si>
    <t>Cannik Chase</t>
  </si>
  <si>
    <t>Cannick Chase</t>
  </si>
  <si>
    <t>Lower Band</t>
  </si>
  <si>
    <t>Higher Band</t>
  </si>
  <si>
    <t>% off number</t>
  </si>
  <si>
    <t>Range Anxiety Scale</t>
  </si>
  <si>
    <t xml:space="preserve">Actual + - </t>
  </si>
  <si>
    <t>East Lindsley</t>
  </si>
  <si>
    <t>UK</t>
  </si>
  <si>
    <t>Barnsley</t>
  </si>
  <si>
    <t>Waverly</t>
  </si>
  <si>
    <t>Waverley</t>
  </si>
  <si>
    <t>Isle of Anglesy</t>
  </si>
  <si>
    <t>Isle of Anglesey</t>
  </si>
  <si>
    <t>Isle of Angelesey</t>
  </si>
  <si>
    <t>Lower Error Bar</t>
  </si>
  <si>
    <t>Higher Error Bar</t>
  </si>
  <si>
    <t xml:space="preserve">Rochdale </t>
  </si>
  <si>
    <t>BEV%</t>
  </si>
  <si>
    <t>PHEV%</t>
  </si>
  <si>
    <t>Combined</t>
  </si>
  <si>
    <t>Isle of Anglsey</t>
  </si>
  <si>
    <t>Used VEH9901</t>
  </si>
  <si>
    <t>West Lindsey</t>
  </si>
  <si>
    <t>East Lindsey</t>
  </si>
  <si>
    <t>N/A</t>
  </si>
  <si>
    <t>n values</t>
  </si>
  <si>
    <t>Creating Model</t>
  </si>
  <si>
    <t>Validating Model</t>
  </si>
  <si>
    <t>Creating model</t>
  </si>
  <si>
    <t>Data</t>
  </si>
  <si>
    <t>Index</t>
  </si>
  <si>
    <t>EV % of new registrations by yeat</t>
  </si>
  <si>
    <t>2020-2021 Increase</t>
  </si>
  <si>
    <t>2021-2022 Increase</t>
  </si>
  <si>
    <t xml:space="preserve">Model 2022 </t>
  </si>
  <si>
    <t>Finding allowable deviance ranges for model using 2020,2021 and 2022 data from veh 9901</t>
  </si>
  <si>
    <t>Year Starting</t>
  </si>
  <si>
    <t>Year Ending</t>
  </si>
  <si>
    <t>EV % share of new small vehicles sales by year for all local authorties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</si>
</sst>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9"/>
      <color indexed="81"/>
      <name val="Tahoma"/>
      <family val="2"/>
    </font>
    <font>
      <b/>
      <sz val="9"/>
      <color indexed="81"/>
      <name val="Tahoma"/>
      <family val="2"/>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s>
  <cellStyleXfs count="1">
    <xf numFmtId="0" fontId="0" fillId="0" borderId="0"/>
  </cellStyleXfs>
  <cellXfs count="41">
    <xf numFmtId="0" fontId="0" fillId="0" borderId="0" xfId="0"/>
    <xf numFmtId="9" fontId="0" fillId="0" borderId="0" xfId="0" applyNumberFormat="1"/>
    <xf numFmtId="0" fontId="0" fillId="0" borderId="0" xfId="0" applyNumberFormat="1"/>
    <xf numFmtId="0" fontId="0" fillId="0" borderId="0" xfId="0" applyFill="1"/>
    <xf numFmtId="2" fontId="0" fillId="0" borderId="0" xfId="0" applyNumberFormat="1"/>
    <xf numFmtId="2" fontId="0" fillId="0" borderId="0" xfId="0" applyNumberFormat="1" applyFont="1"/>
    <xf numFmtId="3" fontId="0" fillId="0" borderId="0" xfId="0" applyNumberFormat="1"/>
    <xf numFmtId="0" fontId="0" fillId="0" borderId="0" xfId="0" applyAlignment="1">
      <alignment horizontal="center"/>
    </xf>
    <xf numFmtId="0" fontId="0" fillId="0" borderId="0" xfId="0" applyAlignment="1">
      <alignment horizontal="center"/>
    </xf>
    <xf numFmtId="2" fontId="0" fillId="0" borderId="1" xfId="0" applyNumberFormat="1" applyBorder="1"/>
    <xf numFmtId="2" fontId="0" fillId="0" borderId="3" xfId="0" applyNumberFormat="1" applyBorder="1"/>
    <xf numFmtId="2" fontId="0" fillId="2" borderId="7" xfId="0" applyNumberFormat="1" applyFill="1" applyBorder="1"/>
    <xf numFmtId="2" fontId="0" fillId="0" borderId="8" xfId="0" applyNumberFormat="1" applyBorder="1"/>
    <xf numFmtId="2" fontId="0" fillId="0" borderId="9" xfId="0" applyNumberFormat="1" applyBorder="1"/>
    <xf numFmtId="0" fontId="0" fillId="0" borderId="1" xfId="0" applyNumberFormat="1" applyBorder="1"/>
    <xf numFmtId="2" fontId="0" fillId="0" borderId="1" xfId="0" applyNumberFormat="1" applyFill="1" applyBorder="1"/>
    <xf numFmtId="2" fontId="0" fillId="2" borderId="1" xfId="0" applyNumberFormat="1" applyFill="1" applyBorder="1"/>
    <xf numFmtId="0" fontId="0" fillId="0" borderId="1" xfId="0" applyBorder="1"/>
    <xf numFmtId="0" fontId="0" fillId="0" borderId="1" xfId="0" applyFill="1" applyBorder="1"/>
    <xf numFmtId="0" fontId="0" fillId="2" borderId="1" xfId="0" applyFill="1" applyBorder="1"/>
    <xf numFmtId="3" fontId="0" fillId="0" borderId="1" xfId="0" applyNumberFormat="1" applyBorder="1"/>
    <xf numFmtId="2" fontId="0" fillId="0" borderId="1" xfId="0" applyNumberFormat="1" applyFont="1" applyBorder="1"/>
    <xf numFmtId="2" fontId="0" fillId="2" borderId="1" xfId="0" applyNumberFormat="1" applyFont="1" applyFill="1" applyBorder="1"/>
    <xf numFmtId="0" fontId="0" fillId="0" borderId="0" xfId="0" applyBorder="1"/>
    <xf numFmtId="2" fontId="0" fillId="0" borderId="2" xfId="0" applyNumberFormat="1" applyBorder="1"/>
    <xf numFmtId="2" fontId="0" fillId="0" borderId="0" xfId="0" applyNumberFormat="1" applyAlignment="1"/>
    <xf numFmtId="0" fontId="0" fillId="0" borderId="3" xfId="0" applyBorder="1"/>
    <xf numFmtId="2" fontId="0" fillId="2" borderId="3" xfId="0" applyNumberFormat="1" applyFill="1" applyBorder="1"/>
    <xf numFmtId="2" fontId="0" fillId="0" borderId="0" xfId="0" applyNumberFormat="1" applyBorder="1"/>
    <xf numFmtId="2" fontId="0" fillId="2" borderId="0" xfId="0" applyNumberFormat="1" applyFill="1" applyBorder="1"/>
    <xf numFmtId="2" fontId="0" fillId="0" borderId="10" xfId="0" applyNumberFormat="1" applyBorder="1"/>
    <xf numFmtId="0" fontId="3" fillId="0" borderId="4" xfId="0" applyFont="1" applyBorder="1" applyAlignment="1">
      <alignment horizontal="center"/>
    </xf>
    <xf numFmtId="0" fontId="3" fillId="0" borderId="6" xfId="0" applyFont="1" applyBorder="1" applyAlignment="1">
      <alignment horizontal="center"/>
    </xf>
    <xf numFmtId="0" fontId="3" fillId="0" borderId="5" xfId="0" applyFont="1" applyBorder="1" applyAlignment="1">
      <alignment horizontal="center"/>
    </xf>
    <xf numFmtId="0" fontId="0" fillId="0" borderId="0" xfId="0" applyAlignment="1">
      <alignment horizontal="center"/>
    </xf>
    <xf numFmtId="2" fontId="0" fillId="0" borderId="4" xfId="0" applyNumberFormat="1" applyBorder="1" applyAlignment="1">
      <alignment horizontal="center"/>
    </xf>
    <xf numFmtId="2" fontId="0" fillId="0" borderId="5" xfId="0" applyNumberForma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2" fontId="0" fillId="0" borderId="6" xfId="0" applyNumberFormat="1" applyBorder="1" applyAlignment="1">
      <alignment horizontal="center"/>
    </xf>
  </cellXfs>
  <cellStyles count="1">
    <cellStyle name="Normal" xfId="0" builtinId="0"/>
  </cellStyles>
  <dxfs count="2">
    <dxf>
      <fill>
        <patternFill>
          <bgColor theme="9" tint="0.59996337778862885"/>
        </patternFill>
      </fill>
    </dxf>
    <dxf>
      <fill>
        <patternFill>
          <bgColor rgb="FFFF8989"/>
        </patternFill>
      </fill>
    </dxf>
  </dxfs>
  <tableStyles count="0" defaultTableStyle="TableStyleMedium2" defaultPivotStyle="PivotStyleLight16"/>
  <colors>
    <mruColors>
      <color rgb="FFFFA3A3"/>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Indication of Highest and Lowest Possible</a:t>
            </a:r>
            <a:r>
              <a:rPr lang="en-GB" baseline="0"/>
              <a:t> % in 2022 vs Prediction from Model</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'Element 2 EV uptake Model'!$L$41:$L$54</c:f>
              <c:numCache>
                <c:formatCode>0.00</c:formatCode>
                <c:ptCount val="14"/>
                <c:pt idx="0">
                  <c:v>13.169999999999998</c:v>
                </c:pt>
                <c:pt idx="1">
                  <c:v>9.27</c:v>
                </c:pt>
                <c:pt idx="2">
                  <c:v>8.1900000000000013</c:v>
                </c:pt>
                <c:pt idx="3">
                  <c:v>10.41</c:v>
                </c:pt>
                <c:pt idx="4">
                  <c:v>5.1337600000000023</c:v>
                </c:pt>
                <c:pt idx="5">
                  <c:v>18.97</c:v>
                </c:pt>
                <c:pt idx="6">
                  <c:v>15.300120000000001</c:v>
                </c:pt>
                <c:pt idx="7">
                  <c:v>11.825399999999998</c:v>
                </c:pt>
                <c:pt idx="8">
                  <c:v>5.9520000000000035</c:v>
                </c:pt>
                <c:pt idx="9">
                  <c:v>11.967932999999999</c:v>
                </c:pt>
                <c:pt idx="10">
                  <c:v>11.240000000000002</c:v>
                </c:pt>
                <c:pt idx="11">
                  <c:v>8.0431200000000018</c:v>
                </c:pt>
                <c:pt idx="12">
                  <c:v>18.705999999999996</c:v>
                </c:pt>
                <c:pt idx="13">
                  <c:v>5.7460000000000022</c:v>
                </c:pt>
              </c:numCache>
            </c:numRef>
          </c:val>
          <c:extLst>
            <c:ext xmlns:c16="http://schemas.microsoft.com/office/drawing/2014/chart" uri="{C3380CC4-5D6E-409C-BE32-E72D297353CC}">
              <c16:uniqueId val="{00000000-7EBC-419B-879C-17E25D75B0AB}"/>
            </c:ext>
          </c:extLst>
        </c:ser>
        <c:ser>
          <c:idx val="1"/>
          <c:order val="1"/>
          <c:spPr>
            <a:solidFill>
              <a:schemeClr val="accent2"/>
            </a:solidFill>
            <a:ln>
              <a:noFill/>
            </a:ln>
            <a:effectLst/>
          </c:spPr>
          <c:invertIfNegative val="0"/>
          <c:val>
            <c:numRef>
              <c:f>'Element 2 EV uptake Model'!$M$41:$M$54</c:f>
              <c:numCache>
                <c:formatCode>0.00</c:formatCode>
                <c:ptCount val="14"/>
                <c:pt idx="0">
                  <c:v>14.196016681242689</c:v>
                </c:pt>
                <c:pt idx="1">
                  <c:v>9.7880001280471234</c:v>
                </c:pt>
                <c:pt idx="2">
                  <c:v>9.5259363811388127</c:v>
                </c:pt>
                <c:pt idx="3">
                  <c:v>12.847346999885467</c:v>
                </c:pt>
                <c:pt idx="4">
                  <c:v>7.6980379034000173</c:v>
                </c:pt>
                <c:pt idx="5">
                  <c:v>19.931858742330256</c:v>
                </c:pt>
                <c:pt idx="6">
                  <c:v>19.297313663916906</c:v>
                </c:pt>
                <c:pt idx="7">
                  <c:v>13.218319799533486</c:v>
                </c:pt>
                <c:pt idx="8">
                  <c:v>9.9637022773772124</c:v>
                </c:pt>
                <c:pt idx="9">
                  <c:v>13.018815084000579</c:v>
                </c:pt>
                <c:pt idx="10">
                  <c:v>12.793497763452226</c:v>
                </c:pt>
                <c:pt idx="11">
                  <c:v>10.730491962051236</c:v>
                </c:pt>
                <c:pt idx="12">
                  <c:v>23.322029654868146</c:v>
                </c:pt>
                <c:pt idx="13">
                  <c:v>11.610070851348748</c:v>
                </c:pt>
              </c:numCache>
            </c:numRef>
          </c:val>
          <c:extLst>
            <c:ext xmlns:c16="http://schemas.microsoft.com/office/drawing/2014/chart" uri="{C3380CC4-5D6E-409C-BE32-E72D297353CC}">
              <c16:uniqueId val="{00000001-7EBC-419B-879C-17E25D75B0AB}"/>
            </c:ext>
          </c:extLst>
        </c:ser>
        <c:ser>
          <c:idx val="2"/>
          <c:order val="2"/>
          <c:spPr>
            <a:solidFill>
              <a:schemeClr val="accent3"/>
            </a:solidFill>
            <a:ln>
              <a:noFill/>
            </a:ln>
            <a:effectLst/>
          </c:spPr>
          <c:invertIfNegative val="0"/>
          <c:val>
            <c:numRef>
              <c:f>'Element 2 EV uptake Model'!$N$41:$N$54</c:f>
              <c:numCache>
                <c:formatCode>0.00</c:formatCode>
                <c:ptCount val="14"/>
                <c:pt idx="0">
                  <c:v>14.830000000000002</c:v>
                </c:pt>
                <c:pt idx="1">
                  <c:v>10.91</c:v>
                </c:pt>
                <c:pt idx="2">
                  <c:v>11.009999999999998</c:v>
                </c:pt>
                <c:pt idx="3">
                  <c:v>14.77</c:v>
                </c:pt>
                <c:pt idx="4">
                  <c:v>9.1294399999999989</c:v>
                </c:pt>
                <c:pt idx="5">
                  <c:v>23.75</c:v>
                </c:pt>
                <c:pt idx="6">
                  <c:v>24.225000000000001</c:v>
                </c:pt>
                <c:pt idx="7">
                  <c:v>15.534600000000001</c:v>
                </c:pt>
                <c:pt idx="8">
                  <c:v>13.807999999999998</c:v>
                </c:pt>
                <c:pt idx="9">
                  <c:v>16.151567</c:v>
                </c:pt>
                <c:pt idx="10">
                  <c:v>13.02</c:v>
                </c:pt>
                <c:pt idx="11">
                  <c:v>13.06748</c:v>
                </c:pt>
                <c:pt idx="12">
                  <c:v>25.188400000000001</c:v>
                </c:pt>
                <c:pt idx="13">
                  <c:v>17.427399999999999</c:v>
                </c:pt>
              </c:numCache>
            </c:numRef>
          </c:val>
          <c:extLst>
            <c:ext xmlns:c16="http://schemas.microsoft.com/office/drawing/2014/chart" uri="{C3380CC4-5D6E-409C-BE32-E72D297353CC}">
              <c16:uniqueId val="{00000002-7EBC-419B-879C-17E25D75B0AB}"/>
            </c:ext>
          </c:extLst>
        </c:ser>
        <c:dLbls>
          <c:showLegendKey val="0"/>
          <c:showVal val="0"/>
          <c:showCatName val="0"/>
          <c:showSerName val="0"/>
          <c:showPercent val="0"/>
          <c:showBubbleSize val="0"/>
        </c:dLbls>
        <c:gapWidth val="219"/>
        <c:overlap val="-27"/>
        <c:axId val="1918311055"/>
        <c:axId val="1918314383"/>
      </c:barChart>
      <c:catAx>
        <c:axId val="1918311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314383"/>
        <c:crosses val="autoZero"/>
        <c:auto val="1"/>
        <c:lblAlgn val="ctr"/>
        <c:lblOffset val="100"/>
        <c:noMultiLvlLbl val="0"/>
      </c:catAx>
      <c:valAx>
        <c:axId val="19183143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3110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'Element 2 EV uptake Model'!$B$58:$B$73</c:f>
              <c:numCache>
                <c:formatCode>General</c:formatCode>
                <c:ptCount val="16"/>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numCache>
            </c:numRef>
          </c:cat>
          <c:val>
            <c:numRef>
              <c:f>'Element 2 EV uptake Model'!$D$58:$D$73</c:f>
              <c:numCache>
                <c:formatCode>0.00</c:formatCode>
                <c:ptCount val="16"/>
                <c:pt idx="0">
                  <c:v>8.11</c:v>
                </c:pt>
                <c:pt idx="1">
                  <c:v>10.572133026993445</c:v>
                </c:pt>
                <c:pt idx="2">
                  <c:v>14.196016681242689</c:v>
                </c:pt>
                <c:pt idx="3">
                  <c:v>18.563781351620044</c:v>
                </c:pt>
                <c:pt idx="4">
                  <c:v>23.528613772595108</c:v>
                </c:pt>
                <c:pt idx="5">
                  <c:v>29.006230705814048</c:v>
                </c:pt>
                <c:pt idx="6">
                  <c:v>34.940030085348539</c:v>
                </c:pt>
                <c:pt idx="7">
                  <c:v>41.288609876743621</c:v>
                </c:pt>
                <c:pt idx="8">
                  <c:v>48.01998731998431</c:v>
                </c:pt>
                <c:pt idx="9">
                  <c:v>55.108496314663881</c:v>
                </c:pt>
                <c:pt idx="10">
                  <c:v>62.532951013149976</c:v>
                </c:pt>
                <c:pt idx="11">
                  <c:v>70.275479634346397</c:v>
                </c:pt>
                <c:pt idx="12">
                  <c:v>78.320743364805224</c:v>
                </c:pt>
                <c:pt idx="13">
                  <c:v>86.655390824679472</c:v>
                </c:pt>
                <c:pt idx="14">
                  <c:v>95.267663956248626</c:v>
                </c:pt>
                <c:pt idx="15">
                  <c:v>104.14710524868535</c:v>
                </c:pt>
              </c:numCache>
            </c:numRef>
          </c:val>
          <c:smooth val="0"/>
          <c:extLst>
            <c:ext xmlns:c16="http://schemas.microsoft.com/office/drawing/2014/chart" uri="{C3380CC4-5D6E-409C-BE32-E72D297353CC}">
              <c16:uniqueId val="{00000000-7EF8-4E22-A9A0-E24DDBD43167}"/>
            </c:ext>
          </c:extLst>
        </c:ser>
        <c:ser>
          <c:idx val="1"/>
          <c:order val="1"/>
          <c:spPr>
            <a:ln w="28575" cap="rnd">
              <a:solidFill>
                <a:schemeClr val="accent2"/>
              </a:solidFill>
              <a:round/>
            </a:ln>
            <a:effectLst/>
          </c:spPr>
          <c:marker>
            <c:symbol val="none"/>
          </c:marker>
          <c:cat>
            <c:numRef>
              <c:f>'Element 2 EV uptake Model'!$B$58:$B$73</c:f>
              <c:numCache>
                <c:formatCode>General</c:formatCode>
                <c:ptCount val="16"/>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numCache>
            </c:numRef>
          </c:cat>
          <c:val>
            <c:numRef>
              <c:f>'Element 2 EV uptake Model'!$E$58:$E$73</c:f>
              <c:numCache>
                <c:formatCode>0.00</c:formatCode>
                <c:ptCount val="16"/>
                <c:pt idx="0">
                  <c:v>4.57</c:v>
                </c:pt>
                <c:pt idx="1">
                  <c:v>6.7974692040096603</c:v>
                </c:pt>
                <c:pt idx="2">
                  <c:v>9.7880001280471234</c:v>
                </c:pt>
                <c:pt idx="3">
                  <c:v>13.225057176049164</c:v>
                </c:pt>
                <c:pt idx="4">
                  <c:v>17.00648442688734</c:v>
                </c:pt>
                <c:pt idx="5">
                  <c:v>21.075691019428881</c:v>
                </c:pt>
                <c:pt idx="6">
                  <c:v>25.395605935525197</c:v>
                </c:pt>
                <c:pt idx="7">
                  <c:v>29.939632193010841</c:v>
                </c:pt>
                <c:pt idx="8">
                  <c:v>34.687547126483636</c:v>
                </c:pt>
                <c:pt idx="9">
                  <c:v>39.623339309792946</c:v>
                </c:pt>
                <c:pt idx="10">
                  <c:v>44.733946315594402</c:v>
                </c:pt>
                <c:pt idx="11">
                  <c:v>50.008462864813112</c:v>
                </c:pt>
                <c:pt idx="12">
                  <c:v>55.43761610234322</c:v>
                </c:pt>
                <c:pt idx="13">
                  <c:v>61.013402603669647</c:v>
                </c:pt>
                <c:pt idx="14">
                  <c:v>66.728828389491895</c:v>
                </c:pt>
                <c:pt idx="15">
                  <c:v>72.57771730344254</c:v>
                </c:pt>
              </c:numCache>
            </c:numRef>
          </c:val>
          <c:smooth val="0"/>
          <c:extLst>
            <c:ext xmlns:c16="http://schemas.microsoft.com/office/drawing/2014/chart" uri="{C3380CC4-5D6E-409C-BE32-E72D297353CC}">
              <c16:uniqueId val="{00000001-7EF8-4E22-A9A0-E24DDBD43167}"/>
            </c:ext>
          </c:extLst>
        </c:ser>
        <c:ser>
          <c:idx val="2"/>
          <c:order val="2"/>
          <c:spPr>
            <a:ln w="28575" cap="rnd">
              <a:solidFill>
                <a:schemeClr val="accent3"/>
              </a:solidFill>
              <a:round/>
            </a:ln>
            <a:effectLst/>
          </c:spPr>
          <c:marker>
            <c:symbol val="none"/>
          </c:marker>
          <c:cat>
            <c:numRef>
              <c:f>'Element 2 EV uptake Model'!$B$58:$B$73</c:f>
              <c:numCache>
                <c:formatCode>General</c:formatCode>
                <c:ptCount val="16"/>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numCache>
            </c:numRef>
          </c:cat>
          <c:val>
            <c:numRef>
              <c:f>'Element 2 EV uptake Model'!$F$58:$F$73</c:f>
              <c:numCache>
                <c:formatCode>0.00</c:formatCode>
                <c:ptCount val="16"/>
                <c:pt idx="0">
                  <c:v>4.55</c:v>
                </c:pt>
                <c:pt idx="1">
                  <c:v>6.4005833224174182</c:v>
                </c:pt>
                <c:pt idx="2">
                  <c:v>9.5259363811388127</c:v>
                </c:pt>
                <c:pt idx="3">
                  <c:v>13.527198296269084</c:v>
                </c:pt>
                <c:pt idx="4">
                  <c:v>18.254624101657228</c:v>
                </c:pt>
                <c:pt idx="5">
                  <c:v>23.619727389232455</c:v>
                </c:pt>
                <c:pt idx="6">
                  <c:v>29.561870161341474</c:v>
                </c:pt>
                <c:pt idx="7">
                  <c:v>36.035995609296798</c:v>
                </c:pt>
                <c:pt idx="8">
                  <c:v>43.00684543922587</c:v>
                </c:pt>
                <c:pt idx="9">
                  <c:v>50.445812782330449</c:v>
                </c:pt>
                <c:pt idx="10">
                  <c:v>58.32905780332176</c:v>
                </c:pt>
                <c:pt idx="11">
                  <c:v>66.636299100640883</c:v>
                </c:pt>
                <c:pt idx="12">
                  <c:v>75.349997111420535</c:v>
                </c:pt>
                <c:pt idx="13">
                  <c:v>84.454779332691245</c:v>
                </c:pt>
                <c:pt idx="14">
                  <c:v>93.937022154420134</c:v>
                </c:pt>
                <c:pt idx="15">
                  <c:v>103.78453821616228</c:v>
                </c:pt>
              </c:numCache>
            </c:numRef>
          </c:val>
          <c:smooth val="0"/>
          <c:extLst>
            <c:ext xmlns:c16="http://schemas.microsoft.com/office/drawing/2014/chart" uri="{C3380CC4-5D6E-409C-BE32-E72D297353CC}">
              <c16:uniqueId val="{00000002-7EF8-4E22-A9A0-E24DDBD43167}"/>
            </c:ext>
          </c:extLst>
        </c:ser>
        <c:ser>
          <c:idx val="3"/>
          <c:order val="3"/>
          <c:spPr>
            <a:ln w="28575" cap="rnd">
              <a:solidFill>
                <a:schemeClr val="accent4"/>
              </a:solidFill>
              <a:round/>
            </a:ln>
            <a:effectLst/>
          </c:spPr>
          <c:marker>
            <c:symbol val="none"/>
          </c:marker>
          <c:cat>
            <c:numRef>
              <c:f>'Element 2 EV uptake Model'!$B$58:$B$73</c:f>
              <c:numCache>
                <c:formatCode>General</c:formatCode>
                <c:ptCount val="16"/>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numCache>
            </c:numRef>
          </c:cat>
          <c:val>
            <c:numRef>
              <c:f>'Element 2 EV uptake Model'!$G$58:$G$73</c:f>
              <c:numCache>
                <c:formatCode>0.00</c:formatCode>
                <c:ptCount val="16"/>
                <c:pt idx="0">
                  <c:v>6.25</c:v>
                </c:pt>
                <c:pt idx="1">
                  <c:v>8.5289738596839637</c:v>
                </c:pt>
                <c:pt idx="2">
                  <c:v>12.847346999885467</c:v>
                </c:pt>
                <c:pt idx="3">
                  <c:v>18.694198776910927</c:v>
                </c:pt>
                <c:pt idx="4">
                  <c:v>25.861441149951851</c:v>
                </c:pt>
                <c:pt idx="5">
                  <c:v>34.22151510743565</c:v>
                </c:pt>
                <c:pt idx="6">
                  <c:v>43.684726433234488</c:v>
                </c:pt>
                <c:pt idx="7">
                  <c:v>54.183078194655259</c:v>
                </c:pt>
                <c:pt idx="8">
                  <c:v>65.662476550866671</c:v>
                </c:pt>
                <c:pt idx="9">
                  <c:v>78.0784130716889</c:v>
                </c:pt>
                <c:pt idx="10">
                  <c:v>91.393341001351502</c:v>
                </c:pt>
                <c:pt idx="11">
                  <c:v>105.57497099363755</c:v>
                </c:pt>
                <c:pt idx="12">
                  <c:v>120.5951067275282</c:v>
                </c:pt>
                <c:pt idx="13">
                  <c:v>136.42881714566025</c:v>
                </c:pt>
                <c:pt idx="14">
                  <c:v>153.05382880539506</c:v>
                </c:pt>
                <c:pt idx="15">
                  <c:v>170.45006783258094</c:v>
                </c:pt>
              </c:numCache>
            </c:numRef>
          </c:val>
          <c:smooth val="0"/>
          <c:extLst>
            <c:ext xmlns:c16="http://schemas.microsoft.com/office/drawing/2014/chart" uri="{C3380CC4-5D6E-409C-BE32-E72D297353CC}">
              <c16:uniqueId val="{00000003-7EF8-4E22-A9A0-E24DDBD43167}"/>
            </c:ext>
          </c:extLst>
        </c:ser>
        <c:ser>
          <c:idx val="4"/>
          <c:order val="4"/>
          <c:spPr>
            <a:ln w="28575" cap="rnd">
              <a:solidFill>
                <a:schemeClr val="accent5"/>
              </a:solidFill>
              <a:round/>
            </a:ln>
            <a:effectLst/>
          </c:spPr>
          <c:marker>
            <c:symbol val="none"/>
          </c:marker>
          <c:cat>
            <c:numRef>
              <c:f>'Element 2 EV uptake Model'!$B$58:$B$73</c:f>
              <c:numCache>
                <c:formatCode>General</c:formatCode>
                <c:ptCount val="16"/>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numCache>
            </c:numRef>
          </c:cat>
          <c:val>
            <c:numRef>
              <c:f>'Element 2 EV uptake Model'!$H$58:$H$73</c:f>
              <c:numCache>
                <c:formatCode>0.00</c:formatCode>
                <c:ptCount val="16"/>
                <c:pt idx="0">
                  <c:v>3.9110719063270967</c:v>
                </c:pt>
                <c:pt idx="1">
                  <c:v>4.7868169686859536</c:v>
                </c:pt>
                <c:pt idx="2">
                  <c:v>7.6980379034000173</c:v>
                </c:pt>
                <c:pt idx="3">
                  <c:v>10.982049156827038</c:v>
                </c:pt>
                <c:pt idx="4">
                  <c:v>15.04128597508573</c:v>
                </c:pt>
                <c:pt idx="5">
                  <c:v>19.80819279229965</c:v>
                </c:pt>
                <c:pt idx="6">
                  <c:v>25.232166269280093</c:v>
                </c:pt>
                <c:pt idx="7">
                  <c:v>31.273344513748349</c:v>
                </c:pt>
                <c:pt idx="8">
                  <c:v>37.899202816330948</c:v>
                </c:pt>
                <c:pt idx="9">
                  <c:v>45.082503140616225</c:v>
                </c:pt>
                <c:pt idx="10">
                  <c:v>52.799972258995673</c:v>
                </c:pt>
                <c:pt idx="11">
                  <c:v>61.031404623705775</c:v>
                </c:pt>
                <c:pt idx="12">
                  <c:v>69.759028375281801</c:v>
                </c:pt>
                <c:pt idx="13">
                  <c:v>78.967042429336274</c:v>
                </c:pt>
                <c:pt idx="14">
                  <c:v>88.64126923722884</c:v>
                </c:pt>
                <c:pt idx="15">
                  <c:v>98.768888346103139</c:v>
                </c:pt>
              </c:numCache>
            </c:numRef>
          </c:val>
          <c:smooth val="0"/>
          <c:extLst>
            <c:ext xmlns:c16="http://schemas.microsoft.com/office/drawing/2014/chart" uri="{C3380CC4-5D6E-409C-BE32-E72D297353CC}">
              <c16:uniqueId val="{00000004-7EF8-4E22-A9A0-E24DDBD43167}"/>
            </c:ext>
          </c:extLst>
        </c:ser>
        <c:ser>
          <c:idx val="5"/>
          <c:order val="5"/>
          <c:spPr>
            <a:ln w="28575" cap="rnd">
              <a:solidFill>
                <a:schemeClr val="accent6"/>
              </a:solidFill>
              <a:round/>
            </a:ln>
            <a:effectLst/>
          </c:spPr>
          <c:marker>
            <c:symbol val="none"/>
          </c:marker>
          <c:cat>
            <c:numRef>
              <c:f>'Element 2 EV uptake Model'!$B$58:$B$73</c:f>
              <c:numCache>
                <c:formatCode>General</c:formatCode>
                <c:ptCount val="16"/>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numCache>
            </c:numRef>
          </c:cat>
          <c:val>
            <c:numRef>
              <c:f>'Element 2 EV uptake Model'!$I$58:$I$73</c:f>
              <c:numCache>
                <c:formatCode>0.00</c:formatCode>
                <c:ptCount val="16"/>
                <c:pt idx="0">
                  <c:v>12.466171759806377</c:v>
                </c:pt>
                <c:pt idx="1">
                  <c:v>15.27907581888085</c:v>
                </c:pt>
                <c:pt idx="2">
                  <c:v>19.931858742330256</c:v>
                </c:pt>
                <c:pt idx="3">
                  <c:v>26.199155134266903</c:v>
                </c:pt>
                <c:pt idx="4">
                  <c:v>33.940870017095349</c:v>
                </c:pt>
                <c:pt idx="5">
                  <c:v>43.057520897021192</c:v>
                </c:pt>
                <c:pt idx="6">
                  <c:v>53.473110123265272</c:v>
                </c:pt>
                <c:pt idx="7">
                  <c:v>65.126796809704558</c:v>
                </c:pt>
                <c:pt idx="8">
                  <c:v>77.968252048513747</c:v>
                </c:pt>
                <c:pt idx="9">
                  <c:v>91.954820437654831</c:v>
                </c:pt>
                <c:pt idx="10">
                  <c:v>107.0496673734755</c:v>
                </c:pt>
                <c:pt idx="11">
                  <c:v>123.220507846441</c:v>
                </c:pt>
                <c:pt idx="12">
                  <c:v>140.43869930021495</c:v>
                </c:pt>
                <c:pt idx="13">
                  <c:v>158.67857342058468</c:v>
                </c:pt>
                <c:pt idx="14">
                  <c:v>177.91693085655214</c:v>
                </c:pt>
                <c:pt idx="15">
                  <c:v>198.13265064025398</c:v>
                </c:pt>
              </c:numCache>
            </c:numRef>
          </c:val>
          <c:smooth val="0"/>
          <c:extLst>
            <c:ext xmlns:c16="http://schemas.microsoft.com/office/drawing/2014/chart" uri="{C3380CC4-5D6E-409C-BE32-E72D297353CC}">
              <c16:uniqueId val="{00000005-7EF8-4E22-A9A0-E24DDBD43167}"/>
            </c:ext>
          </c:extLst>
        </c:ser>
        <c:ser>
          <c:idx val="7"/>
          <c:order val="7"/>
          <c:spPr>
            <a:ln w="28575" cap="rnd">
              <a:solidFill>
                <a:schemeClr val="accent2">
                  <a:lumMod val="60000"/>
                </a:schemeClr>
              </a:solidFill>
              <a:round/>
            </a:ln>
            <a:effectLst/>
          </c:spPr>
          <c:marker>
            <c:symbol val="none"/>
          </c:marker>
          <c:cat>
            <c:numRef>
              <c:f>'Element 2 EV uptake Model'!$B$58:$B$73</c:f>
              <c:numCache>
                <c:formatCode>General</c:formatCode>
                <c:ptCount val="16"/>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numCache>
            </c:numRef>
          </c:cat>
          <c:val>
            <c:numRef>
              <c:f>'Element 2 EV uptake Model'!$K$58:$K$73</c:f>
              <c:numCache>
                <c:formatCode>0.00</c:formatCode>
                <c:ptCount val="16"/>
              </c:numCache>
            </c:numRef>
          </c:val>
          <c:smooth val="0"/>
          <c:extLst xmlns:c15="http://schemas.microsoft.com/office/drawing/2012/chart">
            <c:ext xmlns:c16="http://schemas.microsoft.com/office/drawing/2014/chart" uri="{C3380CC4-5D6E-409C-BE32-E72D297353CC}">
              <c16:uniqueId val="{00000006-7EF8-4E22-A9A0-E24DDBD43167}"/>
            </c:ext>
          </c:extLst>
        </c:ser>
        <c:ser>
          <c:idx val="8"/>
          <c:order val="8"/>
          <c:spPr>
            <a:ln w="28575" cap="rnd">
              <a:solidFill>
                <a:schemeClr val="accent3">
                  <a:lumMod val="60000"/>
                </a:schemeClr>
              </a:solidFill>
              <a:round/>
            </a:ln>
            <a:effectLst/>
          </c:spPr>
          <c:marker>
            <c:symbol val="none"/>
          </c:marker>
          <c:cat>
            <c:numRef>
              <c:f>'Element 2 EV uptake Model'!$B$58:$B$73</c:f>
              <c:numCache>
                <c:formatCode>General</c:formatCode>
                <c:ptCount val="16"/>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numCache>
            </c:numRef>
          </c:cat>
          <c:val>
            <c:numRef>
              <c:f>'Element 2 EV uptake Model'!$L$58:$L$73</c:f>
              <c:numCache>
                <c:formatCode>0.00</c:formatCode>
                <c:ptCount val="16"/>
                <c:pt idx="0">
                  <c:v>7.47</c:v>
                </c:pt>
                <c:pt idx="1">
                  <c:v>9.7551851060485504</c:v>
                </c:pt>
                <c:pt idx="2">
                  <c:v>13.218319799533486</c:v>
                </c:pt>
                <c:pt idx="3">
                  <c:v>17.480818309677833</c:v>
                </c:pt>
                <c:pt idx="4">
                  <c:v>22.402200547182488</c:v>
                </c:pt>
                <c:pt idx="5">
                  <c:v>27.8998821972638</c:v>
                </c:pt>
                <c:pt idx="6">
                  <c:v>33.917474031110167</c:v>
                </c:pt>
                <c:pt idx="7">
                  <c:v>40.413193934079302</c:v>
                </c:pt>
                <c:pt idx="8">
                  <c:v>47.354421606366571</c:v>
                </c:pt>
                <c:pt idx="9">
                  <c:v>54.714742442149927</c:v>
                </c:pt>
                <c:pt idx="10">
                  <c:v>62.47218114283708</c:v>
                </c:pt>
                <c:pt idx="11">
                  <c:v>70.608070813877703</c:v>
                </c:pt>
                <c:pt idx="12">
                  <c:v>79.106290057007271</c:v>
                </c:pt>
                <c:pt idx="13">
                  <c:v>87.952726727563686</c:v>
                </c:pt>
                <c:pt idx="14">
                  <c:v>97.1348882939769</c:v>
                </c:pt>
                <c:pt idx="15">
                  <c:v>106.64161085639167</c:v>
                </c:pt>
              </c:numCache>
            </c:numRef>
          </c:val>
          <c:smooth val="0"/>
          <c:extLst>
            <c:ext xmlns:c16="http://schemas.microsoft.com/office/drawing/2014/chart" uri="{C3380CC4-5D6E-409C-BE32-E72D297353CC}">
              <c16:uniqueId val="{00000007-7EF8-4E22-A9A0-E24DDBD43167}"/>
            </c:ext>
          </c:extLst>
        </c:ser>
        <c:ser>
          <c:idx val="9"/>
          <c:order val="9"/>
          <c:spPr>
            <a:ln w="28575" cap="rnd">
              <a:solidFill>
                <a:schemeClr val="accent4">
                  <a:lumMod val="60000"/>
                </a:schemeClr>
              </a:solidFill>
              <a:round/>
            </a:ln>
            <a:effectLst/>
          </c:spPr>
          <c:marker>
            <c:symbol val="none"/>
          </c:marker>
          <c:cat>
            <c:numRef>
              <c:f>'Element 2 EV uptake Model'!$B$58:$B$73</c:f>
              <c:numCache>
                <c:formatCode>General</c:formatCode>
                <c:ptCount val="16"/>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numCache>
            </c:numRef>
          </c:cat>
          <c:val>
            <c:numRef>
              <c:f>'Element 2 EV uptake Model'!$M$58:$M$73</c:f>
              <c:numCache>
                <c:formatCode>0.00</c:formatCode>
                <c:ptCount val="16"/>
                <c:pt idx="0">
                  <c:v>4.1500000000000004</c:v>
                </c:pt>
                <c:pt idx="1">
                  <c:v>6.1646596473417041</c:v>
                </c:pt>
                <c:pt idx="2">
                  <c:v>9.9637022773772124</c:v>
                </c:pt>
                <c:pt idx="3">
                  <c:v>15.117306450734565</c:v>
                </c:pt>
                <c:pt idx="4">
                  <c:v>21.448307877874747</c:v>
                </c:pt>
                <c:pt idx="5">
                  <c:v>28.847504445741123</c:v>
                </c:pt>
                <c:pt idx="6">
                  <c:v>37.23781194013538</c:v>
                </c:pt>
                <c:pt idx="7">
                  <c:v>46.560616494626011</c:v>
                </c:pt>
                <c:pt idx="8">
                  <c:v>56.769173027410886</c:v>
                </c:pt>
                <c:pt idx="9">
                  <c:v>67.824938468470364</c:v>
                </c:pt>
                <c:pt idx="10">
                  <c:v>79.695338611275048</c:v>
                </c:pt>
                <c:pt idx="11">
                  <c:v>92.352314787070867</c:v>
                </c:pt>
                <c:pt idx="12">
                  <c:v>105.7713292614726</c:v>
                </c:pt>
                <c:pt idx="13">
                  <c:v>119.93065711207259</c:v>
                </c:pt>
                <c:pt idx="14">
                  <c:v>134.8108657021132</c:v>
                </c:pt>
                <c:pt idx="15">
                  <c:v>150.3944218232115</c:v>
                </c:pt>
              </c:numCache>
            </c:numRef>
          </c:val>
          <c:smooth val="0"/>
          <c:extLst>
            <c:ext xmlns:c16="http://schemas.microsoft.com/office/drawing/2014/chart" uri="{C3380CC4-5D6E-409C-BE32-E72D297353CC}">
              <c16:uniqueId val="{00000008-7EF8-4E22-A9A0-E24DDBD43167}"/>
            </c:ext>
          </c:extLst>
        </c:ser>
        <c:ser>
          <c:idx val="10"/>
          <c:order val="10"/>
          <c:spPr>
            <a:ln w="28575" cap="rnd">
              <a:solidFill>
                <a:schemeClr val="accent5">
                  <a:lumMod val="60000"/>
                </a:schemeClr>
              </a:solidFill>
              <a:round/>
            </a:ln>
            <a:effectLst/>
          </c:spPr>
          <c:marker>
            <c:symbol val="none"/>
          </c:marker>
          <c:cat>
            <c:numRef>
              <c:f>'Element 2 EV uptake Model'!$B$58:$B$73</c:f>
              <c:numCache>
                <c:formatCode>General</c:formatCode>
                <c:ptCount val="16"/>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numCache>
            </c:numRef>
          </c:cat>
          <c:val>
            <c:numRef>
              <c:f>'Element 2 EV uptake Model'!$N$58:$N$73</c:f>
              <c:numCache>
                <c:formatCode>0.00</c:formatCode>
                <c:ptCount val="16"/>
                <c:pt idx="0">
                  <c:v>8.4600491809611569</c:v>
                </c:pt>
                <c:pt idx="1">
                  <c:v>9.9904959413280157</c:v>
                </c:pt>
                <c:pt idx="2">
                  <c:v>13.018815084000579</c:v>
                </c:pt>
                <c:pt idx="3">
                  <c:v>17.35972811602436</c:v>
                </c:pt>
                <c:pt idx="4">
                  <c:v>22.898200503061233</c:v>
                </c:pt>
                <c:pt idx="5">
                  <c:v>29.552615776387757</c:v>
                </c:pt>
                <c:pt idx="6">
                  <c:v>37.260666579465713</c:v>
                </c:pt>
                <c:pt idx="7">
                  <c:v>45.972499534426575</c:v>
                </c:pt>
                <c:pt idx="8">
                  <c:v>55.646894225986763</c:v>
                </c:pt>
                <c:pt idx="9">
                  <c:v>66.248929297625665</c:v>
                </c:pt>
                <c:pt idx="10">
                  <c:v>77.748459730329472</c:v>
                </c:pt>
                <c:pt idx="11">
                  <c:v>90.119072443039585</c:v>
                </c:pt>
                <c:pt idx="12">
                  <c:v>103.33734124975349</c:v>
                </c:pt>
                <c:pt idx="13">
                  <c:v>117.38227821716416</c:v>
                </c:pt>
                <c:pt idx="14">
                  <c:v>132.234918913672</c:v>
                </c:pt>
                <c:pt idx="15">
                  <c:v>147.87800188836854</c:v>
                </c:pt>
              </c:numCache>
            </c:numRef>
          </c:val>
          <c:smooth val="0"/>
          <c:extLst>
            <c:ext xmlns:c16="http://schemas.microsoft.com/office/drawing/2014/chart" uri="{C3380CC4-5D6E-409C-BE32-E72D297353CC}">
              <c16:uniqueId val="{00000009-7EF8-4E22-A9A0-E24DDBD43167}"/>
            </c:ext>
          </c:extLst>
        </c:ser>
        <c:ser>
          <c:idx val="11"/>
          <c:order val="11"/>
          <c:spPr>
            <a:ln w="28575" cap="rnd">
              <a:solidFill>
                <a:schemeClr val="accent6">
                  <a:lumMod val="60000"/>
                </a:schemeClr>
              </a:solidFill>
              <a:round/>
            </a:ln>
            <a:effectLst/>
          </c:spPr>
          <c:marker>
            <c:symbol val="none"/>
          </c:marker>
          <c:cat>
            <c:numRef>
              <c:f>'Element 2 EV uptake Model'!$B$58:$B$73</c:f>
              <c:numCache>
                <c:formatCode>General</c:formatCode>
                <c:ptCount val="16"/>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numCache>
            </c:numRef>
          </c:cat>
          <c:val>
            <c:numRef>
              <c:f>'Element 2 EV uptake Model'!$O$58:$O$73</c:f>
              <c:numCache>
                <c:formatCode>0.00</c:formatCode>
                <c:ptCount val="16"/>
                <c:pt idx="0">
                  <c:v>7.4722296645777915</c:v>
                </c:pt>
                <c:pt idx="1">
                  <c:v>9.2543501816654796</c:v>
                </c:pt>
                <c:pt idx="2">
                  <c:v>12.793497763452226</c:v>
                </c:pt>
                <c:pt idx="3">
                  <c:v>17.908925982300921</c:v>
                </c:pt>
                <c:pt idx="4">
                  <c:v>24.48604037669784</c:v>
                </c:pt>
                <c:pt idx="5">
                  <c:v>32.442328772596433</c:v>
                </c:pt>
                <c:pt idx="6">
                  <c:v>41.71407136648714</c:v>
                </c:pt>
                <c:pt idx="7">
                  <c:v>52.249800095254351</c:v>
                </c:pt>
                <c:pt idx="8">
                  <c:v>64.00661568996756</c:v>
                </c:pt>
                <c:pt idx="9">
                  <c:v>76.947918984970556</c:v>
                </c:pt>
                <c:pt idx="10">
                  <c:v>91.041919934247176</c:v>
                </c:pt>
                <c:pt idx="11">
                  <c:v>106.26060842192761</c:v>
                </c:pt>
                <c:pt idx="12">
                  <c:v>122.57901586842722</c:v>
                </c:pt>
                <c:pt idx="13">
                  <c:v>139.9746686733645</c:v>
                </c:pt>
                <c:pt idx="14">
                  <c:v>158.42717309221055</c:v>
                </c:pt>
                <c:pt idx="15">
                  <c:v>177.91789303590815</c:v>
                </c:pt>
              </c:numCache>
            </c:numRef>
          </c:val>
          <c:smooth val="0"/>
          <c:extLst>
            <c:ext xmlns:c16="http://schemas.microsoft.com/office/drawing/2014/chart" uri="{C3380CC4-5D6E-409C-BE32-E72D297353CC}">
              <c16:uniqueId val="{0000000A-7EF8-4E22-A9A0-E24DDBD43167}"/>
            </c:ext>
          </c:extLst>
        </c:ser>
        <c:ser>
          <c:idx val="12"/>
          <c:order val="12"/>
          <c:spPr>
            <a:ln w="28575" cap="rnd">
              <a:solidFill>
                <a:schemeClr val="accent1">
                  <a:lumMod val="80000"/>
                  <a:lumOff val="20000"/>
                </a:schemeClr>
              </a:solidFill>
              <a:round/>
            </a:ln>
            <a:effectLst/>
          </c:spPr>
          <c:marker>
            <c:symbol val="none"/>
          </c:marker>
          <c:cat>
            <c:numRef>
              <c:f>'Element 2 EV uptake Model'!$B$58:$B$73</c:f>
              <c:numCache>
                <c:formatCode>General</c:formatCode>
                <c:ptCount val="16"/>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numCache>
            </c:numRef>
          </c:cat>
          <c:val>
            <c:numRef>
              <c:f>'Element 2 EV uptake Model'!$P$58:$P$73</c:f>
              <c:numCache>
                <c:formatCode>0.00</c:formatCode>
                <c:ptCount val="16"/>
                <c:pt idx="0">
                  <c:v>5.4</c:v>
                </c:pt>
                <c:pt idx="1">
                  <c:v>7.3321367614492523</c:v>
                </c:pt>
                <c:pt idx="2">
                  <c:v>10.730491962051236</c:v>
                </c:pt>
                <c:pt idx="3">
                  <c:v>15.172610401727509</c:v>
                </c:pt>
                <c:pt idx="4">
                  <c:v>20.494531987582725</c:v>
                </c:pt>
                <c:pt idx="5">
                  <c:v>26.597924864463323</c:v>
                </c:pt>
                <c:pt idx="6">
                  <c:v>33.414700979821092</c:v>
                </c:pt>
                <c:pt idx="7">
                  <c:v>40.89385735178022</c:v>
                </c:pt>
                <c:pt idx="8">
                  <c:v>48.99521677361755</c:v>
                </c:pt>
                <c:pt idx="9">
                  <c:v>57.685996911018634</c:v>
                </c:pt>
                <c:pt idx="10">
                  <c:v>66.938743723509717</c:v>
                </c:pt>
                <c:pt idx="11">
                  <c:v>76.729999228809803</c:v>
                </c:pt>
                <c:pt idx="12">
                  <c:v>87.039397327256594</c:v>
                </c:pt>
                <c:pt idx="13">
                  <c:v>97.84902482566909</c:v>
                </c:pt>
                <c:pt idx="14">
                  <c:v>109.14295488141309</c:v>
                </c:pt>
                <c:pt idx="15">
                  <c:v>120.90689702843019</c:v>
                </c:pt>
              </c:numCache>
            </c:numRef>
          </c:val>
          <c:smooth val="0"/>
          <c:extLst>
            <c:ext xmlns:c16="http://schemas.microsoft.com/office/drawing/2014/chart" uri="{C3380CC4-5D6E-409C-BE32-E72D297353CC}">
              <c16:uniqueId val="{0000000B-7EF8-4E22-A9A0-E24DDBD43167}"/>
            </c:ext>
          </c:extLst>
        </c:ser>
        <c:ser>
          <c:idx val="13"/>
          <c:order val="13"/>
          <c:spPr>
            <a:ln w="28575" cap="rnd">
              <a:solidFill>
                <a:schemeClr val="accent2">
                  <a:lumMod val="80000"/>
                  <a:lumOff val="20000"/>
                </a:schemeClr>
              </a:solidFill>
              <a:round/>
            </a:ln>
            <a:effectLst/>
          </c:spPr>
          <c:marker>
            <c:symbol val="none"/>
          </c:marker>
          <c:cat>
            <c:numRef>
              <c:f>'Element 2 EV uptake Model'!$B$58:$B$73</c:f>
              <c:numCache>
                <c:formatCode>General</c:formatCode>
                <c:ptCount val="16"/>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numCache>
            </c:numRef>
          </c:cat>
          <c:val>
            <c:numRef>
              <c:f>'Element 2 EV uptake Model'!$Q$58:$Q$73</c:f>
              <c:numCache>
                <c:formatCode>0.00</c:formatCode>
                <c:ptCount val="16"/>
                <c:pt idx="0">
                  <c:v>15.310076919826328</c:v>
                </c:pt>
                <c:pt idx="1">
                  <c:v>18.359659186455659</c:v>
                </c:pt>
                <c:pt idx="2">
                  <c:v>23.322029654868146</c:v>
                </c:pt>
                <c:pt idx="3">
                  <c:v>29.956778320093374</c:v>
                </c:pt>
                <c:pt idx="4">
                  <c:v>38.114943353798992</c:v>
                </c:pt>
                <c:pt idx="5">
                  <c:v>47.690987767196589</c:v>
                </c:pt>
                <c:pt idx="6">
                  <c:v>58.60443247544557</c:v>
                </c:pt>
                <c:pt idx="7">
                  <c:v>70.790943417952889</c:v>
                </c:pt>
                <c:pt idx="8">
                  <c:v>84.19736844688201</c:v>
                </c:pt>
                <c:pt idx="9">
                  <c:v>98.778708304284947</c:v>
                </c:pt>
                <c:pt idx="10">
                  <c:v>114.49614177091682</c:v>
                </c:pt>
                <c:pt idx="11">
                  <c:v>131.31567199823093</c:v>
                </c:pt>
                <c:pt idx="12">
                  <c:v>149.20716137545551</c:v>
                </c:pt>
                <c:pt idx="13">
                  <c:v>168.14362116934927</c:v>
                </c:pt>
                <c:pt idx="14">
                  <c:v>188.10067476543523</c:v>
                </c:pt>
                <c:pt idx="15">
                  <c:v>209.05614303251173</c:v>
                </c:pt>
              </c:numCache>
            </c:numRef>
          </c:val>
          <c:smooth val="0"/>
          <c:extLst>
            <c:ext xmlns:c16="http://schemas.microsoft.com/office/drawing/2014/chart" uri="{C3380CC4-5D6E-409C-BE32-E72D297353CC}">
              <c16:uniqueId val="{0000000C-7EF8-4E22-A9A0-E24DDBD43167}"/>
            </c:ext>
          </c:extLst>
        </c:ser>
        <c:ser>
          <c:idx val="14"/>
          <c:order val="14"/>
          <c:spPr>
            <a:ln w="28575" cap="rnd">
              <a:solidFill>
                <a:schemeClr val="accent3">
                  <a:lumMod val="80000"/>
                  <a:lumOff val="20000"/>
                </a:schemeClr>
              </a:solidFill>
              <a:round/>
            </a:ln>
            <a:effectLst/>
          </c:spPr>
          <c:marker>
            <c:symbol val="none"/>
          </c:marker>
          <c:cat>
            <c:numRef>
              <c:f>'Element 2 EV uptake Model'!$B$58:$B$73</c:f>
              <c:numCache>
                <c:formatCode>General</c:formatCode>
                <c:ptCount val="16"/>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numCache>
            </c:numRef>
          </c:cat>
          <c:val>
            <c:numRef>
              <c:f>'Element 2 EV uptake Model'!$R$58:$R$73</c:f>
              <c:numCache>
                <c:formatCode>0.00</c:formatCode>
                <c:ptCount val="16"/>
                <c:pt idx="0">
                  <c:v>5.2980462584665506</c:v>
                </c:pt>
                <c:pt idx="1">
                  <c:v>7.3991357979843597</c:v>
                </c:pt>
                <c:pt idx="2">
                  <c:v>11.610070851348748</c:v>
                </c:pt>
                <c:pt idx="3">
                  <c:v>17.767905706240573</c:v>
                </c:pt>
                <c:pt idx="4">
                  <c:v>25.76670556629621</c:v>
                </c:pt>
                <c:pt idx="5">
                  <c:v>35.528829440524319</c:v>
                </c:pt>
                <c:pt idx="6">
                  <c:v>46.993483992671301</c:v>
                </c:pt>
                <c:pt idx="7">
                  <c:v>60.111002750808922</c:v>
                </c:pt>
                <c:pt idx="8">
                  <c:v>74.839585200445129</c:v>
                </c:pt>
                <c:pt idx="9">
                  <c:v>91.143267509587204</c:v>
                </c:pt>
                <c:pt idx="10">
                  <c:v>108.99057715928811</c:v>
                </c:pt>
                <c:pt idx="11">
                  <c:v>128.35359709460326</c:v>
                </c:pt>
                <c:pt idx="12">
                  <c:v>149.20728966977293</c:v>
                </c:pt>
                <c:pt idx="13">
                  <c:v>171.52899311794934</c:v>
                </c:pt>
                <c:pt idx="14">
                  <c:v>195.29803693476831</c:v>
                </c:pt>
                <c:pt idx="15">
                  <c:v>220.49544179611377</c:v>
                </c:pt>
              </c:numCache>
            </c:numRef>
          </c:val>
          <c:smooth val="0"/>
          <c:extLst>
            <c:ext xmlns:c16="http://schemas.microsoft.com/office/drawing/2014/chart" uri="{C3380CC4-5D6E-409C-BE32-E72D297353CC}">
              <c16:uniqueId val="{0000000D-7EF8-4E22-A9A0-E24DDBD43167}"/>
            </c:ext>
          </c:extLst>
        </c:ser>
        <c:dLbls>
          <c:showLegendKey val="0"/>
          <c:showVal val="0"/>
          <c:showCatName val="0"/>
          <c:showSerName val="0"/>
          <c:showPercent val="0"/>
          <c:showBubbleSize val="0"/>
        </c:dLbls>
        <c:smooth val="0"/>
        <c:axId val="418218176"/>
        <c:axId val="418224416"/>
        <c:extLst>
          <c:ext xmlns:c15="http://schemas.microsoft.com/office/drawing/2012/chart" uri="{02D57815-91ED-43cb-92C2-25804820EDAC}">
            <c15:filteredLineSeries>
              <c15:ser>
                <c:idx val="6"/>
                <c:order val="6"/>
                <c:spPr>
                  <a:ln w="28575" cap="rnd">
                    <a:solidFill>
                      <a:schemeClr val="accent1">
                        <a:lumMod val="60000"/>
                      </a:schemeClr>
                    </a:solidFill>
                    <a:round/>
                  </a:ln>
                  <a:effectLst/>
                </c:spPr>
                <c:marker>
                  <c:symbol val="none"/>
                </c:marker>
                <c:cat>
                  <c:numRef>
                    <c:extLst>
                      <c:ext uri="{02D57815-91ED-43cb-92C2-25804820EDAC}">
                        <c15:formulaRef>
                          <c15:sqref>'Element 2 EV uptake Model'!$B$58:$B$73</c15:sqref>
                        </c15:formulaRef>
                      </c:ext>
                    </c:extLst>
                    <c:numCache>
                      <c:formatCode>General</c:formatCode>
                      <c:ptCount val="16"/>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numCache>
                  </c:numRef>
                </c:cat>
                <c:val>
                  <c:numRef>
                    <c:extLst>
                      <c:ext uri="{02D57815-91ED-43cb-92C2-25804820EDAC}">
                        <c15:formulaRef>
                          <c15:sqref>'Element 2 EV uptake Model'!$J$58:$J$73</c15:sqref>
                        </c15:formulaRef>
                      </c:ext>
                    </c:extLst>
                    <c:numCache>
                      <c:formatCode>0.00</c:formatCode>
                      <c:ptCount val="16"/>
                      <c:pt idx="0">
                        <c:v>11.034300218538936</c:v>
                      </c:pt>
                      <c:pt idx="1">
                        <c:v>13.989790454139474</c:v>
                      </c:pt>
                      <c:pt idx="2">
                        <c:v>19.297313663916906</c:v>
                      </c:pt>
                      <c:pt idx="3">
                        <c:v>26.727116749972399</c:v>
                      </c:pt>
                      <c:pt idx="4">
                        <c:v>36.132784382540365</c:v>
                      </c:pt>
                      <c:pt idx="5">
                        <c:v>47.408509419812887</c:v>
                      </c:pt>
                      <c:pt idx="6">
                        <c:v>60.472351194514971</c:v>
                      </c:pt>
                      <c:pt idx="7">
                        <c:v>75.257970048935931</c:v>
                      </c:pt>
                      <c:pt idx="8">
                        <c:v>91.709961516058073</c:v>
                      </c:pt>
                      <c:pt idx="9">
                        <c:v>109.78097619203578</c:v>
                      </c:pt>
                      <c:pt idx="10">
                        <c:v>129.42982352611159</c:v>
                      </c:pt>
                      <c:pt idx="11">
                        <c:v>150.62016085358337</c:v>
                      </c:pt>
                      <c:pt idx="12">
                        <c:v>173.31955151903298</c:v>
                      </c:pt>
                      <c:pt idx="13">
                        <c:v>197.4987668168605</c:v>
                      </c:pt>
                      <c:pt idx="14">
                        <c:v>223.13125518410479</c:v>
                      </c:pt>
                      <c:pt idx="15">
                        <c:v>250.19272977245134</c:v>
                      </c:pt>
                    </c:numCache>
                  </c:numRef>
                </c:val>
                <c:smooth val="0"/>
                <c:extLst>
                  <c:ext xmlns:c16="http://schemas.microsoft.com/office/drawing/2014/chart" uri="{C3380CC4-5D6E-409C-BE32-E72D297353CC}">
                    <c16:uniqueId val="{0000000E-7EF8-4E22-A9A0-E24DDBD43167}"/>
                  </c:ext>
                </c:extLst>
              </c15:ser>
            </c15:filteredLineSeries>
          </c:ext>
        </c:extLst>
      </c:lineChart>
      <c:catAx>
        <c:axId val="418218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224416"/>
        <c:crosses val="autoZero"/>
        <c:auto val="1"/>
        <c:lblAlgn val="ctr"/>
        <c:lblOffset val="100"/>
        <c:noMultiLvlLbl val="0"/>
      </c:catAx>
      <c:valAx>
        <c:axId val="41822441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218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Error Bars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'Element 2 EV uptake Model'!$P$41:$P$54</c:f>
                <c:numCache>
                  <c:formatCode>General</c:formatCode>
                  <c:ptCount val="14"/>
                  <c:pt idx="0">
                    <c:v>0.63398331875731273</c:v>
                  </c:pt>
                  <c:pt idx="1">
                    <c:v>1.1219998719528768</c:v>
                  </c:pt>
                  <c:pt idx="2">
                    <c:v>1.4840636188611853</c:v>
                  </c:pt>
                  <c:pt idx="3">
                    <c:v>1.9226530001145328</c:v>
                  </c:pt>
                  <c:pt idx="4">
                    <c:v>1.4314020965999816</c:v>
                  </c:pt>
                  <c:pt idx="5">
                    <c:v>3.818141257669744</c:v>
                  </c:pt>
                  <c:pt idx="6">
                    <c:v>4.9276863360830951</c:v>
                  </c:pt>
                  <c:pt idx="7">
                    <c:v>2.3162802004665153</c:v>
                  </c:pt>
                  <c:pt idx="8">
                    <c:v>3.8442977226227857</c:v>
                  </c:pt>
                  <c:pt idx="9">
                    <c:v>3.132751915999421</c:v>
                  </c:pt>
                  <c:pt idx="10">
                    <c:v>0.22650223654777335</c:v>
                  </c:pt>
                  <c:pt idx="11">
                    <c:v>2.336988037948764</c:v>
                  </c:pt>
                  <c:pt idx="12">
                    <c:v>1.8663703451318554</c:v>
                  </c:pt>
                  <c:pt idx="13">
                    <c:v>5.8173291486512504</c:v>
                  </c:pt>
                </c:numCache>
              </c:numRef>
            </c:plus>
            <c:minus>
              <c:numRef>
                <c:f>'Element 2 EV uptake Model'!$O$41:$O$54</c:f>
                <c:numCache>
                  <c:formatCode>General</c:formatCode>
                  <c:ptCount val="14"/>
                  <c:pt idx="0">
                    <c:v>1.026016681242691</c:v>
                  </c:pt>
                  <c:pt idx="1">
                    <c:v>0.51800012804712381</c:v>
                  </c:pt>
                  <c:pt idx="2">
                    <c:v>1.3359363811388114</c:v>
                  </c:pt>
                  <c:pt idx="3">
                    <c:v>2.4373469998854667</c:v>
                  </c:pt>
                  <c:pt idx="4">
                    <c:v>2.5642779034000149</c:v>
                  </c:pt>
                  <c:pt idx="5">
                    <c:v>0.96185874233025714</c:v>
                  </c:pt>
                  <c:pt idx="6">
                    <c:v>3.9971936639169048</c:v>
                  </c:pt>
                  <c:pt idx="7">
                    <c:v>1.3929197995334874</c:v>
                  </c:pt>
                  <c:pt idx="8">
                    <c:v>4.0117022773772089</c:v>
                  </c:pt>
                  <c:pt idx="9">
                    <c:v>1.0508820840005804</c:v>
                  </c:pt>
                  <c:pt idx="10">
                    <c:v>1.5534977634522242</c:v>
                  </c:pt>
                  <c:pt idx="11">
                    <c:v>2.687371962051234</c:v>
                  </c:pt>
                  <c:pt idx="12">
                    <c:v>4.6160296548681501</c:v>
                  </c:pt>
                  <c:pt idx="13">
                    <c:v>5.8640708513487461</c:v>
                  </c:pt>
                </c:numCache>
              </c:numRef>
            </c:minus>
            <c:spPr>
              <a:noFill/>
              <a:ln w="9525" cap="flat" cmpd="sng" algn="ctr">
                <a:solidFill>
                  <a:schemeClr val="tx1">
                    <a:lumMod val="65000"/>
                    <a:lumOff val="35000"/>
                  </a:schemeClr>
                </a:solidFill>
                <a:round/>
              </a:ln>
              <a:effectLst/>
            </c:spPr>
          </c:errBars>
          <c:errBars>
            <c:errDir val="x"/>
            <c:errBarType val="both"/>
            <c:errValType val="fixedVal"/>
            <c:noEndCap val="0"/>
            <c:val val="1"/>
            <c:spPr>
              <a:noFill/>
              <a:ln w="9525" cap="flat" cmpd="sng" algn="ctr">
                <a:noFill/>
                <a:round/>
              </a:ln>
              <a:effectLst/>
            </c:spPr>
          </c:errBars>
          <c:yVal>
            <c:numRef>
              <c:f>'Element 2 EV uptake Model'!$M$41:$M$54</c:f>
              <c:numCache>
                <c:formatCode>0.00</c:formatCode>
                <c:ptCount val="14"/>
                <c:pt idx="0">
                  <c:v>14.196016681242689</c:v>
                </c:pt>
                <c:pt idx="1">
                  <c:v>9.7880001280471234</c:v>
                </c:pt>
                <c:pt idx="2">
                  <c:v>9.5259363811388127</c:v>
                </c:pt>
                <c:pt idx="3">
                  <c:v>12.847346999885467</c:v>
                </c:pt>
                <c:pt idx="4">
                  <c:v>7.6980379034000173</c:v>
                </c:pt>
                <c:pt idx="5">
                  <c:v>19.931858742330256</c:v>
                </c:pt>
                <c:pt idx="6">
                  <c:v>19.297313663916906</c:v>
                </c:pt>
                <c:pt idx="7">
                  <c:v>13.218319799533486</c:v>
                </c:pt>
                <c:pt idx="8">
                  <c:v>9.9637022773772124</c:v>
                </c:pt>
                <c:pt idx="9">
                  <c:v>13.018815084000579</c:v>
                </c:pt>
                <c:pt idx="10">
                  <c:v>12.793497763452226</c:v>
                </c:pt>
                <c:pt idx="11">
                  <c:v>10.730491962051236</c:v>
                </c:pt>
                <c:pt idx="12">
                  <c:v>23.322029654868146</c:v>
                </c:pt>
                <c:pt idx="13">
                  <c:v>11.610070851348748</c:v>
                </c:pt>
              </c:numCache>
            </c:numRef>
          </c:yVal>
          <c:smooth val="0"/>
          <c:extLst>
            <c:ext xmlns:c16="http://schemas.microsoft.com/office/drawing/2014/chart" uri="{C3380CC4-5D6E-409C-BE32-E72D297353CC}">
              <c16:uniqueId val="{00000000-DD52-415A-9FF1-AEE551047393}"/>
            </c:ext>
          </c:extLst>
        </c:ser>
        <c:ser>
          <c:idx val="1"/>
          <c:order val="1"/>
          <c:spPr>
            <a:ln w="25400" cap="rnd">
              <a:noFill/>
              <a:round/>
            </a:ln>
            <a:effectLst/>
          </c:spPr>
          <c:marker>
            <c:symbol val="x"/>
            <c:size val="4"/>
            <c:spPr>
              <a:noFill/>
              <a:ln w="9525">
                <a:solidFill>
                  <a:schemeClr val="accent2"/>
                </a:solidFill>
              </a:ln>
              <a:effectLst/>
            </c:spPr>
          </c:marker>
          <c:yVal>
            <c:numRef>
              <c:f>'Element 2 EV uptake Model'!$L$23:$L$36</c:f>
              <c:numCache>
                <c:formatCode>0.00</c:formatCode>
                <c:ptCount val="14"/>
                <c:pt idx="0">
                  <c:v>14</c:v>
                </c:pt>
                <c:pt idx="1">
                  <c:v>10.09</c:v>
                </c:pt>
                <c:pt idx="2">
                  <c:v>9.6</c:v>
                </c:pt>
                <c:pt idx="3">
                  <c:v>12.59</c:v>
                </c:pt>
                <c:pt idx="4">
                  <c:v>7.1316000000000006</c:v>
                </c:pt>
                <c:pt idx="5">
                  <c:v>21.36</c:v>
                </c:pt>
                <c:pt idx="6">
                  <c:v>19.762560000000001</c:v>
                </c:pt>
                <c:pt idx="7">
                  <c:v>13.68</c:v>
                </c:pt>
                <c:pt idx="8">
                  <c:v>9.8800000000000008</c:v>
                </c:pt>
                <c:pt idx="9">
                  <c:v>14.059749999999999</c:v>
                </c:pt>
                <c:pt idx="10">
                  <c:v>12.13</c:v>
                </c:pt>
                <c:pt idx="11">
                  <c:v>10.555300000000001</c:v>
                </c:pt>
                <c:pt idx="12">
                  <c:v>21.947199999999999</c:v>
                </c:pt>
                <c:pt idx="13">
                  <c:v>11.5867</c:v>
                </c:pt>
              </c:numCache>
            </c:numRef>
          </c:yVal>
          <c:smooth val="0"/>
          <c:extLst>
            <c:ext xmlns:c16="http://schemas.microsoft.com/office/drawing/2014/chart" uri="{C3380CC4-5D6E-409C-BE32-E72D297353CC}">
              <c16:uniqueId val="{00000001-DD52-415A-9FF1-AEE551047393}"/>
            </c:ext>
          </c:extLst>
        </c:ser>
        <c:dLbls>
          <c:showLegendKey val="0"/>
          <c:showVal val="0"/>
          <c:showCatName val="0"/>
          <c:showSerName val="0"/>
          <c:showPercent val="0"/>
          <c:showBubbleSize val="0"/>
        </c:dLbls>
        <c:axId val="2075107455"/>
        <c:axId val="2075111199"/>
      </c:scatterChart>
      <c:valAx>
        <c:axId val="2075107455"/>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111199"/>
        <c:crosses val="autoZero"/>
        <c:crossBetween val="midCat"/>
      </c:valAx>
      <c:valAx>
        <c:axId val="20751111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1074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788411</xdr:colOff>
      <xdr:row>75</xdr:row>
      <xdr:rowOff>25932</xdr:rowOff>
    </xdr:from>
    <xdr:to>
      <xdr:col>9</xdr:col>
      <xdr:colOff>622724</xdr:colOff>
      <xdr:row>89</xdr:row>
      <xdr:rowOff>88524</xdr:rowOff>
    </xdr:to>
    <xdr:graphicFrame macro="">
      <xdr:nvGraphicFramePr>
        <xdr:cNvPr id="2" name="Chart 1">
          <a:extLst>
            <a:ext uri="{FF2B5EF4-FFF2-40B4-BE49-F238E27FC236}">
              <a16:creationId xmlns:a16="http://schemas.microsoft.com/office/drawing/2014/main" id="{126FCA88-A880-44E1-AA0D-1CA651CA1F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546688</xdr:colOff>
      <xdr:row>75</xdr:row>
      <xdr:rowOff>31538</xdr:rowOff>
    </xdr:from>
    <xdr:to>
      <xdr:col>17</xdr:col>
      <xdr:colOff>653143</xdr:colOff>
      <xdr:row>92</xdr:row>
      <xdr:rowOff>122464</xdr:rowOff>
    </xdr:to>
    <xdr:graphicFrame macro="">
      <xdr:nvGraphicFramePr>
        <xdr:cNvPr id="3" name="Chart 2">
          <a:extLst>
            <a:ext uri="{FF2B5EF4-FFF2-40B4-BE49-F238E27FC236}">
              <a16:creationId xmlns:a16="http://schemas.microsoft.com/office/drawing/2014/main" id="{BE36CFAB-61CA-41A0-BAB8-2E162A5CC5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737261</xdr:colOff>
      <xdr:row>90</xdr:row>
      <xdr:rowOff>32409</xdr:rowOff>
    </xdr:from>
    <xdr:to>
      <xdr:col>11</xdr:col>
      <xdr:colOff>163286</xdr:colOff>
      <xdr:row>109</xdr:row>
      <xdr:rowOff>122464</xdr:rowOff>
    </xdr:to>
    <xdr:graphicFrame macro="">
      <xdr:nvGraphicFramePr>
        <xdr:cNvPr id="4" name="Chart 3">
          <a:extLst>
            <a:ext uri="{FF2B5EF4-FFF2-40B4-BE49-F238E27FC236}">
              <a16:creationId xmlns:a16="http://schemas.microsoft.com/office/drawing/2014/main" id="{D20000E2-70E9-47A4-9A21-318F0837E1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7EAE0-FCCF-4E41-BBED-EE1E1F1B5E70}">
  <dimension ref="A1:X93"/>
  <sheetViews>
    <sheetView topLeftCell="A10" zoomScale="70" zoomScaleNormal="70" workbookViewId="0">
      <selection activeCell="H21" sqref="H21"/>
    </sheetView>
  </sheetViews>
  <sheetFormatPr defaultRowHeight="15" x14ac:dyDescent="0.25"/>
  <cols>
    <col min="1" max="1" width="31.42578125" customWidth="1"/>
    <col min="2" max="2" width="21" customWidth="1"/>
    <col min="3" max="3" width="18.140625" customWidth="1"/>
    <col min="4" max="4" width="18.5703125" customWidth="1"/>
    <col min="5" max="5" width="18" customWidth="1"/>
    <col min="6" max="6" width="18.85546875" customWidth="1"/>
    <col min="7" max="7" width="21.5703125" customWidth="1"/>
    <col min="8" max="8" width="31" customWidth="1"/>
    <col min="9" max="9" width="18.5703125" customWidth="1"/>
    <col min="10" max="10" width="21" customWidth="1"/>
    <col min="11" max="11" width="20.140625" customWidth="1"/>
    <col min="12" max="12" width="13.42578125" customWidth="1"/>
    <col min="13" max="13" width="16.42578125" customWidth="1"/>
    <col min="14" max="14" width="14.28515625" customWidth="1"/>
    <col min="15" max="15" width="16.85546875" customWidth="1"/>
    <col min="16" max="16" width="18.140625" customWidth="1"/>
    <col min="17" max="17" width="14.28515625" customWidth="1"/>
    <col min="18" max="18" width="20.5703125" customWidth="1"/>
  </cols>
  <sheetData>
    <row r="1" spans="2:18" ht="15.75" thickBot="1" x14ac:dyDescent="0.3"/>
    <row r="2" spans="2:18" x14ac:dyDescent="0.25">
      <c r="B2" s="37" t="s">
        <v>52</v>
      </c>
      <c r="C2" s="38"/>
      <c r="D2" s="38"/>
      <c r="E2" s="38"/>
      <c r="F2" s="38"/>
      <c r="G2" s="38"/>
      <c r="H2" s="39"/>
    </row>
    <row r="3" spans="2:18" x14ac:dyDescent="0.25">
      <c r="B3" s="17" t="s">
        <v>0</v>
      </c>
      <c r="C3" s="17" t="s">
        <v>5</v>
      </c>
      <c r="D3" s="17" t="s">
        <v>6</v>
      </c>
      <c r="E3" s="17" t="s">
        <v>9</v>
      </c>
      <c r="F3" s="17" t="s">
        <v>4</v>
      </c>
      <c r="G3" s="17"/>
      <c r="H3" s="17" t="s">
        <v>7</v>
      </c>
      <c r="P3" s="1"/>
      <c r="Q3" s="1"/>
    </row>
    <row r="4" spans="2:18" x14ac:dyDescent="0.25">
      <c r="B4" s="18" t="s">
        <v>3</v>
      </c>
      <c r="C4" s="17">
        <v>73</v>
      </c>
      <c r="D4" s="17">
        <v>62.5</v>
      </c>
      <c r="E4" s="14">
        <v>21679</v>
      </c>
      <c r="F4" s="17">
        <f>275</f>
        <v>275</v>
      </c>
      <c r="G4" s="17"/>
      <c r="H4" s="17">
        <v>31.1</v>
      </c>
    </row>
    <row r="5" spans="2:18" x14ac:dyDescent="0.25">
      <c r="B5" s="19" t="s">
        <v>2</v>
      </c>
      <c r="C5" s="17">
        <f>100 - ((0.4*32.1)+(0.8*35.2))</f>
        <v>58.999999999999993</v>
      </c>
      <c r="D5" s="17">
        <v>54.9</v>
      </c>
      <c r="E5" s="14">
        <v>21084</v>
      </c>
      <c r="F5" s="17">
        <v>4308</v>
      </c>
      <c r="G5" s="17"/>
      <c r="H5" s="17">
        <v>22.2</v>
      </c>
    </row>
    <row r="6" spans="2:18" x14ac:dyDescent="0.25">
      <c r="B6" s="18" t="s">
        <v>1</v>
      </c>
      <c r="C6" s="17">
        <f>100 - ((0.4*28)+(0.8*34.6))</f>
        <v>61.12</v>
      </c>
      <c r="D6" s="17">
        <v>41</v>
      </c>
      <c r="E6" s="14">
        <v>16894</v>
      </c>
      <c r="F6" s="17">
        <v>4773</v>
      </c>
      <c r="G6" s="17"/>
      <c r="H6" s="17">
        <v>19</v>
      </c>
    </row>
    <row r="7" spans="2:18" x14ac:dyDescent="0.25">
      <c r="B7" s="18" t="s">
        <v>11</v>
      </c>
      <c r="C7" s="17">
        <f>100-((34.4*0.4)+(12.8*0.8))</f>
        <v>76</v>
      </c>
      <c r="D7" s="17">
        <v>60.7</v>
      </c>
      <c r="E7" s="14">
        <v>16297</v>
      </c>
      <c r="F7" s="17">
        <v>1416</v>
      </c>
      <c r="G7" s="17"/>
      <c r="H7" s="17">
        <v>11.1</v>
      </c>
    </row>
    <row r="8" spans="2:18" x14ac:dyDescent="0.25">
      <c r="B8" s="18" t="s">
        <v>13</v>
      </c>
      <c r="C8" s="17">
        <f>100-((0.4*20.9)+(0.8*21.4))</f>
        <v>74.52</v>
      </c>
      <c r="D8" s="17">
        <v>66.8</v>
      </c>
      <c r="E8" s="14">
        <v>25088</v>
      </c>
      <c r="F8" s="17">
        <v>525</v>
      </c>
      <c r="G8" s="17"/>
      <c r="H8" s="17">
        <v>28.5</v>
      </c>
    </row>
    <row r="9" spans="2:18" x14ac:dyDescent="0.25">
      <c r="B9" s="18" t="s">
        <v>10</v>
      </c>
      <c r="C9" s="17">
        <f>100-((25.4*0.4)+(0.8*10))</f>
        <v>81.84</v>
      </c>
      <c r="D9" s="17">
        <v>66.7</v>
      </c>
      <c r="E9" s="14">
        <v>17181</v>
      </c>
      <c r="F9" s="17">
        <v>323</v>
      </c>
      <c r="G9" s="17"/>
      <c r="H9" s="17">
        <v>7</v>
      </c>
    </row>
    <row r="10" spans="2:18" x14ac:dyDescent="0.25">
      <c r="B10" s="18" t="s">
        <v>8</v>
      </c>
      <c r="C10" s="17">
        <f>100 - ((0.4*17.8)+(0.8*17.2))</f>
        <v>79.12</v>
      </c>
      <c r="D10" s="17">
        <f>35+36.2</f>
        <v>71.2</v>
      </c>
      <c r="E10" s="14">
        <v>28440</v>
      </c>
      <c r="F10" s="17">
        <v>353</v>
      </c>
      <c r="G10" s="17"/>
      <c r="H10" s="17">
        <v>25.6</v>
      </c>
    </row>
    <row r="11" spans="2:18" x14ac:dyDescent="0.25">
      <c r="B11" s="18" t="s">
        <v>12</v>
      </c>
      <c r="C11" s="17">
        <f>100-(0.4*19.9)-(0.8*8.9)</f>
        <v>84.92</v>
      </c>
      <c r="D11" s="17">
        <v>67.2</v>
      </c>
      <c r="E11" s="14">
        <v>30544</v>
      </c>
      <c r="F11" s="17">
        <v>78</v>
      </c>
      <c r="G11" s="17"/>
      <c r="H11" s="17">
        <v>46.7</v>
      </c>
    </row>
    <row r="12" spans="2:18" x14ac:dyDescent="0.25">
      <c r="B12" s="18" t="s">
        <v>19</v>
      </c>
      <c r="C12" s="17">
        <f>100 - ((0.4*27.4)+(0.8*23.6))</f>
        <v>70.16</v>
      </c>
      <c r="D12" s="17">
        <v>45.6</v>
      </c>
      <c r="E12" s="14">
        <v>15015</v>
      </c>
      <c r="F12" s="17">
        <v>4338</v>
      </c>
      <c r="G12" s="17"/>
      <c r="H12" s="17">
        <v>43</v>
      </c>
    </row>
    <row r="13" spans="2:18" x14ac:dyDescent="0.25">
      <c r="B13" s="18" t="s">
        <v>20</v>
      </c>
      <c r="C13" s="17">
        <f>100 - ((0.4*11.9)+(0.8*11.3))</f>
        <v>86.2</v>
      </c>
      <c r="D13" s="17">
        <v>67.8</v>
      </c>
      <c r="E13" s="14">
        <v>17873</v>
      </c>
      <c r="F13" s="17">
        <v>1274</v>
      </c>
      <c r="G13" s="17"/>
      <c r="H13" s="17">
        <v>15.9</v>
      </c>
    </row>
    <row r="14" spans="2:18" x14ac:dyDescent="0.25">
      <c r="B14" s="19" t="s">
        <v>45</v>
      </c>
      <c r="C14" s="17">
        <f>100 - ((0.4*16.6)+(0.8*5.2))</f>
        <v>89.2</v>
      </c>
      <c r="D14" s="17">
        <f>41.5+29.7</f>
        <v>71.2</v>
      </c>
      <c r="E14" s="20">
        <v>19254</v>
      </c>
      <c r="F14" s="17">
        <v>82</v>
      </c>
      <c r="G14" s="17"/>
      <c r="H14" s="17">
        <v>13</v>
      </c>
    </row>
    <row r="15" spans="2:18" x14ac:dyDescent="0.25">
      <c r="B15" s="18" t="s">
        <v>29</v>
      </c>
      <c r="C15" s="17">
        <f>100 - ((0.4*11)+(0.8*9))</f>
        <v>88.4</v>
      </c>
      <c r="D15" s="17">
        <f>46.2+22.3</f>
        <v>68.5</v>
      </c>
      <c r="E15" s="14">
        <v>18561</v>
      </c>
      <c r="F15" s="17">
        <v>81</v>
      </c>
      <c r="G15" s="17"/>
      <c r="H15" s="17">
        <v>33.200000000000003</v>
      </c>
      <c r="Q15" s="34"/>
      <c r="R15" s="34"/>
    </row>
    <row r="16" spans="2:18" x14ac:dyDescent="0.25">
      <c r="B16" s="18" t="s">
        <v>31</v>
      </c>
      <c r="C16" s="17">
        <f>100 - ((0.4*23.3)+(0.8*7.7))</f>
        <v>84.52</v>
      </c>
      <c r="D16" s="17">
        <f>33+29.9</f>
        <v>62.9</v>
      </c>
      <c r="E16" s="14">
        <v>17448</v>
      </c>
      <c r="F16" s="17">
        <v>743</v>
      </c>
      <c r="G16" s="17"/>
      <c r="H16" s="17">
        <v>8.5</v>
      </c>
      <c r="Q16" s="7"/>
      <c r="R16" s="7"/>
    </row>
    <row r="17" spans="2:18" x14ac:dyDescent="0.25">
      <c r="B17" s="18" t="s">
        <v>33</v>
      </c>
      <c r="C17" s="17">
        <f>100 - ((0.4*14.2)+(0.8*17.5))</f>
        <v>80.319999999999993</v>
      </c>
      <c r="D17" s="17">
        <f>38.2+34.8</f>
        <v>73</v>
      </c>
      <c r="E17" s="14">
        <v>32525</v>
      </c>
      <c r="F17" s="17">
        <v>372</v>
      </c>
      <c r="G17" s="17"/>
      <c r="H17" s="17">
        <v>19</v>
      </c>
      <c r="Q17" s="7"/>
      <c r="R17" s="7"/>
    </row>
    <row r="18" spans="2:18" x14ac:dyDescent="0.25">
      <c r="B18" s="18" t="s">
        <v>34</v>
      </c>
      <c r="C18" s="17">
        <f>100 - ((0.4*22.1)+(0.8*7))</f>
        <v>85.56</v>
      </c>
      <c r="D18" s="17">
        <f>44.6+23.8</f>
        <v>68.400000000000006</v>
      </c>
      <c r="E18" s="14">
        <v>17778</v>
      </c>
      <c r="F18" s="17">
        <v>97</v>
      </c>
      <c r="G18" s="17"/>
      <c r="H18" s="17">
        <v>65.7</v>
      </c>
      <c r="Q18" s="7"/>
      <c r="R18" s="7"/>
    </row>
    <row r="19" spans="2:18" ht="15.75" thickBot="1" x14ac:dyDescent="0.3">
      <c r="B19" s="3"/>
      <c r="E19" s="2"/>
      <c r="Q19" s="8"/>
      <c r="R19" s="8"/>
    </row>
    <row r="20" spans="2:18" x14ac:dyDescent="0.25">
      <c r="B20" s="37" t="s">
        <v>53</v>
      </c>
      <c r="C20" s="38"/>
      <c r="D20" s="38"/>
      <c r="E20" s="38"/>
      <c r="F20" s="38"/>
      <c r="G20" s="38"/>
      <c r="H20" s="39"/>
      <c r="J20" s="37" t="s">
        <v>54</v>
      </c>
      <c r="K20" s="38"/>
      <c r="L20" s="39"/>
      <c r="Q20" s="2"/>
    </row>
    <row r="21" spans="2:18" x14ac:dyDescent="0.25">
      <c r="B21" s="15" t="s">
        <v>0</v>
      </c>
      <c r="C21" s="9" t="s">
        <v>5</v>
      </c>
      <c r="D21" s="9" t="s">
        <v>6</v>
      </c>
      <c r="E21" s="9" t="s">
        <v>9</v>
      </c>
      <c r="F21" s="9" t="s">
        <v>4</v>
      </c>
      <c r="G21" s="9" t="s">
        <v>27</v>
      </c>
      <c r="H21" s="9" t="s">
        <v>7</v>
      </c>
      <c r="J21" s="14">
        <v>20.2</v>
      </c>
      <c r="K21" s="14">
        <v>20.21</v>
      </c>
      <c r="L21" s="14">
        <v>20.22</v>
      </c>
      <c r="P21" s="3"/>
    </row>
    <row r="22" spans="2:18" x14ac:dyDescent="0.25">
      <c r="B22" s="15" t="s">
        <v>3</v>
      </c>
      <c r="C22" s="21">
        <v>73</v>
      </c>
      <c r="D22" s="21">
        <v>62.5</v>
      </c>
      <c r="E22" s="21">
        <v>21679</v>
      </c>
      <c r="F22" s="21">
        <f>67000000/243610</f>
        <v>275.02976068305901</v>
      </c>
      <c r="G22" s="21" t="s">
        <v>47</v>
      </c>
      <c r="H22" s="21">
        <v>31.1</v>
      </c>
      <c r="J22" s="9">
        <v>10.18</v>
      </c>
      <c r="K22" s="9">
        <v>16.630000000000003</v>
      </c>
      <c r="L22" s="9">
        <v>20.82</v>
      </c>
      <c r="P22" s="3"/>
    </row>
    <row r="23" spans="2:18" x14ac:dyDescent="0.25">
      <c r="B23" s="16" t="s">
        <v>2</v>
      </c>
      <c r="C23" s="22">
        <f t="shared" ref="C23:C36" si="0">SQRT(C5/73)</f>
        <v>0.89901011011122212</v>
      </c>
      <c r="D23" s="22">
        <f t="shared" ref="D23:D36" si="1">SQRT(D5/62.5)</f>
        <v>0.93722996110879853</v>
      </c>
      <c r="E23" s="22">
        <f t="shared" ref="E23:E36" si="2">SQRT(E5/$E$4)</f>
        <v>0.98618156776427235</v>
      </c>
      <c r="F23" s="22">
        <f t="shared" ref="F23:F36" si="3">F5/275</f>
        <v>15.665454545454546</v>
      </c>
      <c r="G23" s="22">
        <v>1</v>
      </c>
      <c r="H23" s="22">
        <f t="shared" ref="H23:H36" si="4">SQRT(H5/31.1)</f>
        <v>0.84488245724448885</v>
      </c>
      <c r="J23" s="16">
        <v>8.11</v>
      </c>
      <c r="K23" s="16">
        <v>11.47</v>
      </c>
      <c r="L23" s="16">
        <v>14</v>
      </c>
      <c r="P23" s="3"/>
    </row>
    <row r="24" spans="2:18" x14ac:dyDescent="0.25">
      <c r="B24" s="15" t="s">
        <v>1</v>
      </c>
      <c r="C24" s="21">
        <f t="shared" si="0"/>
        <v>0.91501927519184134</v>
      </c>
      <c r="D24" s="21">
        <f t="shared" si="1"/>
        <v>0.80993826925266355</v>
      </c>
      <c r="E24" s="21">
        <f t="shared" si="2"/>
        <v>0.88276808226238634</v>
      </c>
      <c r="F24" s="21">
        <f t="shared" si="3"/>
        <v>17.356363636363636</v>
      </c>
      <c r="G24" s="21">
        <v>1</v>
      </c>
      <c r="H24" s="21">
        <f t="shared" si="4"/>
        <v>0.78162169614478105</v>
      </c>
      <c r="J24" s="9">
        <v>4.57</v>
      </c>
      <c r="K24" s="9">
        <v>7.74</v>
      </c>
      <c r="L24" s="9">
        <v>10.09</v>
      </c>
      <c r="P24" s="3"/>
    </row>
    <row r="25" spans="2:18" x14ac:dyDescent="0.25">
      <c r="B25" s="15" t="s">
        <v>11</v>
      </c>
      <c r="C25" s="21">
        <f t="shared" si="0"/>
        <v>1.0203410657280039</v>
      </c>
      <c r="D25" s="21">
        <f t="shared" si="1"/>
        <v>0.98549479958039354</v>
      </c>
      <c r="E25" s="21">
        <f t="shared" si="2"/>
        <v>0.86703017045624631</v>
      </c>
      <c r="F25" s="21">
        <f t="shared" si="3"/>
        <v>5.1490909090909094</v>
      </c>
      <c r="G25" s="21">
        <v>0.5</v>
      </c>
      <c r="H25" s="21">
        <f t="shared" si="4"/>
        <v>0.59742211482313134</v>
      </c>
      <c r="J25" s="9">
        <v>4.5500000000000007</v>
      </c>
      <c r="K25" s="9">
        <v>7.7799999999999994</v>
      </c>
      <c r="L25" s="9">
        <v>9.6</v>
      </c>
      <c r="P25" s="3"/>
    </row>
    <row r="26" spans="2:18" x14ac:dyDescent="0.25">
      <c r="B26" s="15" t="s">
        <v>13</v>
      </c>
      <c r="C26" s="21">
        <f t="shared" si="0"/>
        <v>1.0103573218461968</v>
      </c>
      <c r="D26" s="21">
        <f t="shared" si="1"/>
        <v>1.0338278386656068</v>
      </c>
      <c r="E26" s="21">
        <f t="shared" si="2"/>
        <v>1.0757550606887016</v>
      </c>
      <c r="F26" s="21">
        <f t="shared" si="3"/>
        <v>1.9090909090909092</v>
      </c>
      <c r="G26" s="21">
        <v>0.5</v>
      </c>
      <c r="H26" s="21">
        <f t="shared" si="4"/>
        <v>0.95728716372171552</v>
      </c>
      <c r="J26" s="9">
        <v>6.25</v>
      </c>
      <c r="K26" s="9">
        <v>10.51</v>
      </c>
      <c r="L26" s="9">
        <v>12.59</v>
      </c>
      <c r="P26" s="3"/>
    </row>
    <row r="27" spans="2:18" x14ac:dyDescent="0.25">
      <c r="B27" s="15" t="s">
        <v>10</v>
      </c>
      <c r="C27" s="21">
        <f t="shared" si="0"/>
        <v>1.0588181573863187</v>
      </c>
      <c r="D27" s="21">
        <f t="shared" si="1"/>
        <v>1.0330537256115968</v>
      </c>
      <c r="E27" s="21">
        <f t="shared" si="2"/>
        <v>0.89023485950542713</v>
      </c>
      <c r="F27" s="21">
        <f t="shared" si="3"/>
        <v>1.1745454545454546</v>
      </c>
      <c r="G27" s="21">
        <v>-1.5</v>
      </c>
      <c r="H27" s="21">
        <f t="shared" si="4"/>
        <v>0.4744263755864444</v>
      </c>
      <c r="J27" s="9">
        <v>2.4900000000000002</v>
      </c>
      <c r="K27" s="9">
        <v>5.8097199999999996</v>
      </c>
      <c r="L27" s="9">
        <v>7.1316000000000006</v>
      </c>
      <c r="P27" s="3"/>
    </row>
    <row r="28" spans="2:18" x14ac:dyDescent="0.25">
      <c r="B28" s="15" t="s">
        <v>8</v>
      </c>
      <c r="C28" s="21">
        <f t="shared" si="0"/>
        <v>1.0410742607702661</v>
      </c>
      <c r="D28" s="21">
        <f t="shared" si="1"/>
        <v>1.0673331251301066</v>
      </c>
      <c r="E28" s="21">
        <f t="shared" si="2"/>
        <v>1.1453683375346038</v>
      </c>
      <c r="F28" s="21">
        <f t="shared" si="3"/>
        <v>1.2836363636363637</v>
      </c>
      <c r="G28" s="21">
        <v>-1.5</v>
      </c>
      <c r="H28" s="21">
        <f t="shared" si="4"/>
        <v>0.90727676339798835</v>
      </c>
      <c r="J28" s="9">
        <v>10.53</v>
      </c>
      <c r="K28" s="9">
        <v>17.14</v>
      </c>
      <c r="L28" s="9">
        <v>21.36</v>
      </c>
    </row>
    <row r="29" spans="2:18" x14ac:dyDescent="0.25">
      <c r="B29" s="15" t="s">
        <v>12</v>
      </c>
      <c r="C29" s="21">
        <f t="shared" si="0"/>
        <v>1.0785581445767662</v>
      </c>
      <c r="D29" s="21">
        <f t="shared" si="1"/>
        <v>1.0369185117452577</v>
      </c>
      <c r="E29" s="21">
        <f t="shared" si="2"/>
        <v>1.1869798126739028</v>
      </c>
      <c r="F29" s="21">
        <f t="shared" si="3"/>
        <v>0.28363636363636363</v>
      </c>
      <c r="G29" s="21">
        <v>-2</v>
      </c>
      <c r="H29" s="21">
        <f t="shared" si="4"/>
        <v>1.2254010433494011</v>
      </c>
      <c r="J29" s="9">
        <v>8.9489999999999998</v>
      </c>
      <c r="K29" s="9">
        <v>16.587</v>
      </c>
      <c r="L29" s="9">
        <v>19.762560000000001</v>
      </c>
    </row>
    <row r="30" spans="2:18" x14ac:dyDescent="0.25">
      <c r="B30" s="15" t="s">
        <v>19</v>
      </c>
      <c r="C30" s="21">
        <f t="shared" si="0"/>
        <v>0.98035498183615044</v>
      </c>
      <c r="D30" s="21">
        <f t="shared" si="1"/>
        <v>0.85416626016250496</v>
      </c>
      <c r="E30" s="21">
        <f t="shared" si="2"/>
        <v>0.83222938394265933</v>
      </c>
      <c r="F30" s="21">
        <f t="shared" si="3"/>
        <v>15.774545454545455</v>
      </c>
      <c r="G30" s="21">
        <v>1</v>
      </c>
      <c r="H30" s="21">
        <f t="shared" si="4"/>
        <v>1.1758557122149609</v>
      </c>
      <c r="J30" s="9">
        <v>7.47</v>
      </c>
      <c r="K30" s="9">
        <v>11.5023</v>
      </c>
      <c r="L30" s="9">
        <v>13.68</v>
      </c>
    </row>
    <row r="31" spans="2:18" x14ac:dyDescent="0.25">
      <c r="B31" s="15" t="s">
        <v>20</v>
      </c>
      <c r="C31" s="21">
        <f t="shared" si="0"/>
        <v>1.0866563016005655</v>
      </c>
      <c r="D31" s="21">
        <f t="shared" si="1"/>
        <v>1.0415373253033229</v>
      </c>
      <c r="E31" s="21">
        <f t="shared" si="2"/>
        <v>0.90798590110475252</v>
      </c>
      <c r="F31" s="21">
        <f t="shared" si="3"/>
        <v>4.6327272727272728</v>
      </c>
      <c r="G31" s="21">
        <v>0.5</v>
      </c>
      <c r="H31" s="21">
        <f t="shared" si="4"/>
        <v>0.71502029292363756</v>
      </c>
      <c r="J31" s="9">
        <v>4.1500000000000004</v>
      </c>
      <c r="K31" s="9">
        <v>8.9789999999999992</v>
      </c>
      <c r="L31" s="9">
        <v>9.8800000000000008</v>
      </c>
      <c r="P31" s="3"/>
    </row>
    <row r="32" spans="2:18" x14ac:dyDescent="0.25">
      <c r="B32" s="16" t="s">
        <v>45</v>
      </c>
      <c r="C32" s="21">
        <f t="shared" si="0"/>
        <v>1.1054039117983878</v>
      </c>
      <c r="D32" s="21">
        <f t="shared" si="1"/>
        <v>1.0673331251301066</v>
      </c>
      <c r="E32" s="21">
        <f t="shared" si="2"/>
        <v>0.94241211626920451</v>
      </c>
      <c r="F32" s="21">
        <f t="shared" si="3"/>
        <v>0.29818181818181816</v>
      </c>
      <c r="G32" s="21">
        <v>-2</v>
      </c>
      <c r="H32" s="21">
        <f t="shared" si="4"/>
        <v>0.64653416836866962</v>
      </c>
      <c r="J32" s="9">
        <v>6.8659129999999999</v>
      </c>
      <c r="K32" s="9">
        <v>11.50874</v>
      </c>
      <c r="L32" s="9">
        <v>14.059749999999999</v>
      </c>
      <c r="P32" s="3"/>
    </row>
    <row r="33" spans="2:22" x14ac:dyDescent="0.25">
      <c r="B33" s="15" t="s">
        <v>29</v>
      </c>
      <c r="C33" s="21">
        <f t="shared" si="0"/>
        <v>1.1004357791845871</v>
      </c>
      <c r="D33" s="21">
        <f t="shared" si="1"/>
        <v>1.046900186264192</v>
      </c>
      <c r="E33" s="21">
        <f t="shared" si="2"/>
        <v>0.92529680523371938</v>
      </c>
      <c r="F33" s="21">
        <f t="shared" si="3"/>
        <v>0.29454545454545455</v>
      </c>
      <c r="G33" s="21">
        <v>-2</v>
      </c>
      <c r="H33" s="21">
        <f t="shared" si="4"/>
        <v>1.0332105863547987</v>
      </c>
      <c r="J33" s="9">
        <v>5.86</v>
      </c>
      <c r="K33" s="9">
        <v>8.5500000000000007</v>
      </c>
      <c r="L33" s="9">
        <v>12.13</v>
      </c>
      <c r="P33" s="3"/>
    </row>
    <row r="34" spans="2:22" x14ac:dyDescent="0.25">
      <c r="B34" s="15" t="s">
        <v>31</v>
      </c>
      <c r="C34" s="21">
        <f t="shared" si="0"/>
        <v>1.0760149716328682</v>
      </c>
      <c r="D34" s="21">
        <f t="shared" si="1"/>
        <v>1.0031948963187562</v>
      </c>
      <c r="E34" s="21">
        <f t="shared" si="2"/>
        <v>0.89712550477503716</v>
      </c>
      <c r="F34" s="21">
        <f t="shared" si="3"/>
        <v>2.7018181818181817</v>
      </c>
      <c r="G34" s="21">
        <v>0.5</v>
      </c>
      <c r="H34" s="21">
        <f t="shared" si="4"/>
        <v>0.52279240345103462</v>
      </c>
      <c r="J34" s="9">
        <v>5.3963200000000002</v>
      </c>
      <c r="K34" s="9">
        <v>9.2318999999999996</v>
      </c>
      <c r="L34" s="9">
        <v>10.555300000000001</v>
      </c>
    </row>
    <row r="35" spans="2:22" x14ac:dyDescent="0.25">
      <c r="B35" s="15" t="s">
        <v>33</v>
      </c>
      <c r="C35" s="21">
        <f t="shared" si="0"/>
        <v>1.04893945135205</v>
      </c>
      <c r="D35" s="21">
        <f t="shared" si="1"/>
        <v>1.0807404868885035</v>
      </c>
      <c r="E35" s="21">
        <f t="shared" si="2"/>
        <v>1.2248672700859964</v>
      </c>
      <c r="F35" s="21">
        <f t="shared" si="3"/>
        <v>1.3527272727272728</v>
      </c>
      <c r="G35" s="21">
        <v>-1.5</v>
      </c>
      <c r="H35" s="21">
        <f t="shared" si="4"/>
        <v>0.78162169614478105</v>
      </c>
      <c r="J35" s="9">
        <v>13.25</v>
      </c>
      <c r="K35" s="9">
        <v>19.219200000000001</v>
      </c>
      <c r="L35" s="9">
        <v>21.947199999999999</v>
      </c>
    </row>
    <row r="36" spans="2:22" x14ac:dyDescent="0.25">
      <c r="B36" s="15" t="s">
        <v>34</v>
      </c>
      <c r="C36" s="21">
        <f t="shared" si="0"/>
        <v>1.082614795077431</v>
      </c>
      <c r="D36" s="21">
        <f t="shared" si="1"/>
        <v>1.0461357464497616</v>
      </c>
      <c r="E36" s="21">
        <f t="shared" si="2"/>
        <v>0.90556958631486251</v>
      </c>
      <c r="F36" s="21">
        <f t="shared" si="3"/>
        <v>0.35272727272727272</v>
      </c>
      <c r="G36" s="21">
        <v>-2</v>
      </c>
      <c r="H36" s="21">
        <f t="shared" si="4"/>
        <v>1.4534580120959961</v>
      </c>
      <c r="J36" s="9">
        <v>3.6629999999999998</v>
      </c>
      <c r="K36" s="9">
        <v>10.545199999999999</v>
      </c>
      <c r="L36" s="9">
        <v>11.5867</v>
      </c>
      <c r="P36" s="23"/>
    </row>
    <row r="37" spans="2:22" x14ac:dyDescent="0.25">
      <c r="G37" s="5"/>
    </row>
    <row r="38" spans="2:22" ht="15.75" thickBot="1" x14ac:dyDescent="0.3"/>
    <row r="39" spans="2:22" ht="15.75" thickBot="1" x14ac:dyDescent="0.3">
      <c r="B39" s="35" t="s">
        <v>48</v>
      </c>
      <c r="C39" s="36"/>
      <c r="D39" s="4"/>
      <c r="E39" s="4"/>
      <c r="F39" s="4"/>
      <c r="G39" s="4"/>
      <c r="H39" s="4"/>
      <c r="I39" s="25"/>
      <c r="J39" s="35" t="s">
        <v>58</v>
      </c>
      <c r="K39" s="40"/>
      <c r="L39" s="40"/>
      <c r="M39" s="40"/>
      <c r="N39" s="40"/>
      <c r="O39" s="40"/>
      <c r="P39" s="36"/>
      <c r="Q39" s="4"/>
      <c r="R39" s="4"/>
      <c r="S39" s="4"/>
      <c r="T39" s="4"/>
      <c r="U39" s="4"/>
      <c r="V39" s="4"/>
    </row>
    <row r="40" spans="2:22" x14ac:dyDescent="0.25">
      <c r="B40" s="10" t="s">
        <v>30</v>
      </c>
      <c r="C40" s="10">
        <f>(0.65*1)+(0.65*1)+(0.37*1)</f>
        <v>1.67</v>
      </c>
      <c r="D40" s="4"/>
      <c r="E40" s="4"/>
      <c r="F40" s="4"/>
      <c r="G40" s="4"/>
      <c r="H40" s="4"/>
      <c r="I40" s="4"/>
      <c r="J40" s="10" t="s">
        <v>55</v>
      </c>
      <c r="K40" s="10" t="s">
        <v>56</v>
      </c>
      <c r="L40" s="10" t="s">
        <v>24</v>
      </c>
      <c r="M40" s="10" t="s">
        <v>57</v>
      </c>
      <c r="N40" s="10" t="s">
        <v>25</v>
      </c>
      <c r="O40" s="10" t="s">
        <v>37</v>
      </c>
      <c r="P40" s="10" t="s">
        <v>38</v>
      </c>
      <c r="Q40" s="4"/>
      <c r="R40" s="4"/>
      <c r="S40" s="4"/>
      <c r="T40" s="4"/>
      <c r="U40" s="4"/>
      <c r="V40" s="4"/>
    </row>
    <row r="41" spans="2:22" x14ac:dyDescent="0.25">
      <c r="B41" s="9" t="s">
        <v>2</v>
      </c>
      <c r="C41" s="9">
        <f t="shared" ref="C41:C51" si="5">(0.72*C23)+(0.72*D23)+(0.19*H23)</f>
        <v>1.4826205181548677</v>
      </c>
      <c r="D41" s="4"/>
      <c r="E41" s="4"/>
      <c r="F41" s="4"/>
      <c r="G41" s="4"/>
      <c r="H41" s="4"/>
      <c r="I41" s="24" t="s">
        <v>2</v>
      </c>
      <c r="J41" s="9">
        <f t="shared" ref="J41:K54" si="6">K23-J23</f>
        <v>3.3600000000000012</v>
      </c>
      <c r="K41" s="9">
        <f t="shared" si="6"/>
        <v>2.5299999999999994</v>
      </c>
      <c r="L41" s="9">
        <f t="shared" ref="L41:L50" si="7">(2*K41)+J23</f>
        <v>13.169999999999998</v>
      </c>
      <c r="M41" s="9">
        <f>D60</f>
        <v>14.196016681242689</v>
      </c>
      <c r="N41" s="9">
        <f t="shared" ref="N41:N50" si="8">J23+(J41*2)</f>
        <v>14.830000000000002</v>
      </c>
      <c r="O41" s="9">
        <f>M41-L41</f>
        <v>1.026016681242691</v>
      </c>
      <c r="P41" s="9">
        <f>N41-M41</f>
        <v>0.63398331875731273</v>
      </c>
      <c r="Q41" s="4"/>
      <c r="R41" s="4"/>
      <c r="S41" s="4"/>
      <c r="T41" s="4"/>
      <c r="U41" s="4"/>
      <c r="V41" s="4"/>
    </row>
    <row r="42" spans="2:22" x14ac:dyDescent="0.25">
      <c r="B42" s="9" t="s">
        <v>1</v>
      </c>
      <c r="C42" s="9">
        <f t="shared" si="5"/>
        <v>1.3904775542675518</v>
      </c>
      <c r="D42" s="4"/>
      <c r="E42" s="4"/>
      <c r="F42" s="4"/>
      <c r="G42" s="4"/>
      <c r="H42" s="4"/>
      <c r="I42" s="24" t="s">
        <v>1</v>
      </c>
      <c r="J42" s="9">
        <f t="shared" si="6"/>
        <v>3.17</v>
      </c>
      <c r="K42" s="9">
        <f t="shared" si="6"/>
        <v>2.3499999999999996</v>
      </c>
      <c r="L42" s="9">
        <f t="shared" si="7"/>
        <v>9.27</v>
      </c>
      <c r="M42" s="9">
        <f>E60</f>
        <v>9.7880001280471234</v>
      </c>
      <c r="N42" s="9">
        <f t="shared" si="8"/>
        <v>10.91</v>
      </c>
      <c r="O42" s="9">
        <f t="shared" ref="O42:P54" si="9">M42-L42</f>
        <v>0.51800012804712381</v>
      </c>
      <c r="P42" s="9">
        <f t="shared" si="9"/>
        <v>1.1219998719528768</v>
      </c>
      <c r="Q42" s="4"/>
      <c r="R42" s="4"/>
      <c r="S42" s="4"/>
      <c r="T42" s="4"/>
      <c r="U42" s="4"/>
      <c r="V42" s="4"/>
    </row>
    <row r="43" spans="2:22" x14ac:dyDescent="0.25">
      <c r="B43" s="9" t="s">
        <v>11</v>
      </c>
      <c r="C43" s="9">
        <f t="shared" si="5"/>
        <v>1.5577120248384411</v>
      </c>
      <c r="D43" s="4"/>
      <c r="E43" s="4"/>
      <c r="F43" s="4"/>
      <c r="G43" s="4"/>
      <c r="H43" s="4"/>
      <c r="I43" s="24" t="s">
        <v>11</v>
      </c>
      <c r="J43" s="9">
        <f t="shared" si="6"/>
        <v>3.2299999999999986</v>
      </c>
      <c r="K43" s="9">
        <f t="shared" si="6"/>
        <v>1.8200000000000003</v>
      </c>
      <c r="L43" s="9">
        <f t="shared" si="7"/>
        <v>8.1900000000000013</v>
      </c>
      <c r="M43" s="9">
        <f>F60</f>
        <v>9.5259363811388127</v>
      </c>
      <c r="N43" s="9">
        <f t="shared" si="8"/>
        <v>11.009999999999998</v>
      </c>
      <c r="O43" s="9">
        <f t="shared" si="9"/>
        <v>1.3359363811388114</v>
      </c>
      <c r="P43" s="9">
        <f t="shared" si="9"/>
        <v>1.4840636188611853</v>
      </c>
      <c r="Q43" s="4"/>
      <c r="R43" s="4"/>
      <c r="S43" s="4"/>
      <c r="T43" s="4"/>
      <c r="U43" s="4"/>
      <c r="V43" s="4"/>
    </row>
    <row r="44" spans="2:22" x14ac:dyDescent="0.25">
      <c r="B44" s="9" t="s">
        <v>13</v>
      </c>
      <c r="C44" s="9">
        <f t="shared" si="5"/>
        <v>1.6536978766756245</v>
      </c>
      <c r="D44" s="4"/>
      <c r="E44" s="4"/>
      <c r="F44" s="4"/>
      <c r="G44" s="4"/>
      <c r="H44" s="4"/>
      <c r="I44" s="24" t="s">
        <v>13</v>
      </c>
      <c r="J44" s="9">
        <f t="shared" si="6"/>
        <v>4.26</v>
      </c>
      <c r="K44" s="9">
        <f t="shared" si="6"/>
        <v>2.08</v>
      </c>
      <c r="L44" s="9">
        <f t="shared" si="7"/>
        <v>10.41</v>
      </c>
      <c r="M44" s="9">
        <f>G60</f>
        <v>12.847346999885467</v>
      </c>
      <c r="N44" s="9">
        <f t="shared" si="8"/>
        <v>14.77</v>
      </c>
      <c r="O44" s="9">
        <f t="shared" si="9"/>
        <v>2.4373469998854667</v>
      </c>
      <c r="P44" s="9">
        <f t="shared" si="9"/>
        <v>1.9226530001145328</v>
      </c>
      <c r="Q44" s="4"/>
      <c r="R44" s="4"/>
      <c r="S44" s="4"/>
      <c r="T44" s="4"/>
      <c r="U44" s="4"/>
      <c r="V44" s="4"/>
    </row>
    <row r="45" spans="2:22" x14ac:dyDescent="0.25">
      <c r="B45" s="9" t="s">
        <v>10</v>
      </c>
      <c r="C45" s="9">
        <f t="shared" si="5"/>
        <v>1.5962887671199235</v>
      </c>
      <c r="D45" s="4"/>
      <c r="E45" s="4"/>
      <c r="F45" s="4"/>
      <c r="G45" s="4"/>
      <c r="H45" s="4"/>
      <c r="I45" s="24" t="s">
        <v>10</v>
      </c>
      <c r="J45" s="9">
        <f t="shared" si="6"/>
        <v>3.3197199999999993</v>
      </c>
      <c r="K45" s="9">
        <f t="shared" si="6"/>
        <v>1.3218800000000011</v>
      </c>
      <c r="L45" s="9">
        <f t="shared" si="7"/>
        <v>5.1337600000000023</v>
      </c>
      <c r="M45" s="9">
        <f>H60</f>
        <v>7.6980379034000173</v>
      </c>
      <c r="N45" s="9">
        <f t="shared" si="8"/>
        <v>9.1294399999999989</v>
      </c>
      <c r="O45" s="9">
        <f t="shared" si="9"/>
        <v>2.5642779034000149</v>
      </c>
      <c r="P45" s="9">
        <f t="shared" si="9"/>
        <v>1.4314020965999816</v>
      </c>
      <c r="Q45" s="4"/>
      <c r="R45" s="4"/>
      <c r="S45" s="4"/>
      <c r="T45" s="4"/>
      <c r="U45" s="4"/>
      <c r="V45" s="4"/>
    </row>
    <row r="46" spans="2:22" x14ac:dyDescent="0.25">
      <c r="B46" s="9" t="s">
        <v>8</v>
      </c>
      <c r="C46" s="9">
        <f t="shared" si="5"/>
        <v>1.690435902893886</v>
      </c>
      <c r="D46" s="4"/>
      <c r="E46" s="4"/>
      <c r="F46" s="4"/>
      <c r="G46" s="4"/>
      <c r="H46" s="4"/>
      <c r="I46" s="24" t="s">
        <v>8</v>
      </c>
      <c r="J46" s="9">
        <f t="shared" si="6"/>
        <v>6.6100000000000012</v>
      </c>
      <c r="K46" s="9">
        <f t="shared" si="6"/>
        <v>4.2199999999999989</v>
      </c>
      <c r="L46" s="9">
        <f t="shared" si="7"/>
        <v>18.97</v>
      </c>
      <c r="M46" s="9">
        <f>I60</f>
        <v>19.931858742330256</v>
      </c>
      <c r="N46" s="9">
        <f t="shared" si="8"/>
        <v>23.75</v>
      </c>
      <c r="O46" s="9">
        <f t="shared" si="9"/>
        <v>0.96185874233025714</v>
      </c>
      <c r="P46" s="9">
        <f t="shared" si="9"/>
        <v>3.818141257669744</v>
      </c>
      <c r="Q46" s="4"/>
      <c r="R46" s="4"/>
      <c r="S46" s="4"/>
      <c r="T46" s="4"/>
      <c r="U46" s="4"/>
      <c r="V46" s="4"/>
    </row>
    <row r="47" spans="2:22" x14ac:dyDescent="0.25">
      <c r="B47" s="9" t="s">
        <v>12</v>
      </c>
      <c r="C47" s="9">
        <f t="shared" si="5"/>
        <v>1.7559693907882434</v>
      </c>
      <c r="D47" s="4"/>
      <c r="E47" s="4"/>
      <c r="F47" s="4"/>
      <c r="G47" s="4"/>
      <c r="H47" s="4"/>
      <c r="I47" s="24" t="s">
        <v>12</v>
      </c>
      <c r="J47" s="9">
        <f t="shared" si="6"/>
        <v>7.6379999999999999</v>
      </c>
      <c r="K47" s="9">
        <f t="shared" si="6"/>
        <v>3.1755600000000008</v>
      </c>
      <c r="L47" s="9">
        <f t="shared" si="7"/>
        <v>15.300120000000001</v>
      </c>
      <c r="M47" s="9">
        <f>J60</f>
        <v>19.297313663916906</v>
      </c>
      <c r="N47" s="9">
        <f t="shared" si="8"/>
        <v>24.225000000000001</v>
      </c>
      <c r="O47" s="9">
        <f t="shared" si="9"/>
        <v>3.9971936639169048</v>
      </c>
      <c r="P47" s="9">
        <f t="shared" si="9"/>
        <v>4.9276863360830951</v>
      </c>
      <c r="Q47" s="4"/>
      <c r="R47" s="4"/>
      <c r="S47" s="4"/>
      <c r="T47" s="4"/>
      <c r="U47" s="4"/>
      <c r="V47" s="4"/>
    </row>
    <row r="48" spans="2:22" x14ac:dyDescent="0.25">
      <c r="B48" s="9" t="s">
        <v>19</v>
      </c>
      <c r="C48" s="9">
        <f t="shared" si="5"/>
        <v>1.5442678795598745</v>
      </c>
      <c r="D48" s="4"/>
      <c r="E48" s="4"/>
      <c r="F48" s="4"/>
      <c r="G48" s="4"/>
      <c r="H48" s="4"/>
      <c r="I48" s="24" t="s">
        <v>19</v>
      </c>
      <c r="J48" s="9">
        <f t="shared" si="6"/>
        <v>4.0323000000000002</v>
      </c>
      <c r="K48" s="9">
        <f t="shared" si="6"/>
        <v>2.1776999999999997</v>
      </c>
      <c r="L48" s="9">
        <f t="shared" si="7"/>
        <v>11.825399999999998</v>
      </c>
      <c r="M48" s="9">
        <f>L60</f>
        <v>13.218319799533486</v>
      </c>
      <c r="N48" s="9">
        <f t="shared" si="8"/>
        <v>15.534600000000001</v>
      </c>
      <c r="O48" s="9">
        <f t="shared" si="9"/>
        <v>1.3929197995334874</v>
      </c>
      <c r="P48" s="9">
        <f t="shared" si="9"/>
        <v>2.3162802004665153</v>
      </c>
      <c r="Q48" s="4"/>
      <c r="R48" s="4"/>
      <c r="S48" s="4"/>
      <c r="T48" s="4"/>
      <c r="U48" s="4"/>
      <c r="V48" s="4"/>
    </row>
    <row r="49" spans="1:24" x14ac:dyDescent="0.25">
      <c r="B49" s="9" t="s">
        <v>22</v>
      </c>
      <c r="C49" s="9">
        <f t="shared" si="5"/>
        <v>1.6681532670262906</v>
      </c>
      <c r="D49" s="4"/>
      <c r="E49" s="4"/>
      <c r="F49" s="4"/>
      <c r="G49" s="4"/>
      <c r="H49" s="4"/>
      <c r="I49" s="24" t="s">
        <v>22</v>
      </c>
      <c r="J49" s="9">
        <f t="shared" si="6"/>
        <v>4.8289999999999988</v>
      </c>
      <c r="K49" s="9">
        <f t="shared" si="6"/>
        <v>0.90100000000000158</v>
      </c>
      <c r="L49" s="9">
        <f t="shared" si="7"/>
        <v>5.9520000000000035</v>
      </c>
      <c r="M49" s="9">
        <f>M60</f>
        <v>9.9637022773772124</v>
      </c>
      <c r="N49" s="9">
        <f t="shared" si="8"/>
        <v>13.807999999999998</v>
      </c>
      <c r="O49" s="9">
        <f t="shared" si="9"/>
        <v>4.0117022773772089</v>
      </c>
      <c r="P49" s="9">
        <f t="shared" si="9"/>
        <v>3.8442977226227857</v>
      </c>
      <c r="Q49" s="4"/>
      <c r="R49" s="4"/>
      <c r="S49" s="4"/>
      <c r="T49" s="4"/>
      <c r="U49" s="4"/>
      <c r="V49" s="4"/>
    </row>
    <row r="50" spans="1:24" x14ac:dyDescent="0.25">
      <c r="B50" s="9" t="s">
        <v>45</v>
      </c>
      <c r="C50" s="9">
        <f t="shared" si="5"/>
        <v>1.6872121585785629</v>
      </c>
      <c r="D50" s="4"/>
      <c r="E50" s="4"/>
      <c r="F50" s="4"/>
      <c r="G50" s="4"/>
      <c r="H50" s="4"/>
      <c r="I50" s="24" t="s">
        <v>45</v>
      </c>
      <c r="J50" s="9">
        <f t="shared" si="6"/>
        <v>4.6428269999999996</v>
      </c>
      <c r="K50" s="9">
        <f t="shared" si="6"/>
        <v>2.5510099999999998</v>
      </c>
      <c r="L50" s="9">
        <f t="shared" si="7"/>
        <v>11.967932999999999</v>
      </c>
      <c r="M50" s="9">
        <f>N60</f>
        <v>13.018815084000579</v>
      </c>
      <c r="N50" s="9">
        <f t="shared" si="8"/>
        <v>16.151567</v>
      </c>
      <c r="O50" s="9">
        <f t="shared" si="9"/>
        <v>1.0508820840005804</v>
      </c>
      <c r="P50" s="9">
        <f t="shared" si="9"/>
        <v>3.132751915999421</v>
      </c>
      <c r="Q50" s="4"/>
      <c r="R50" s="4"/>
      <c r="S50" s="4"/>
      <c r="T50" s="4"/>
      <c r="U50" s="4"/>
      <c r="V50" s="4"/>
    </row>
    <row r="51" spans="1:24" x14ac:dyDescent="0.25">
      <c r="B51" s="9" t="s">
        <v>29</v>
      </c>
      <c r="C51" s="9">
        <f t="shared" si="5"/>
        <v>1.7423919065305327</v>
      </c>
      <c r="D51" s="4"/>
      <c r="E51" s="4"/>
      <c r="F51" s="4"/>
      <c r="G51" s="4"/>
      <c r="H51" s="4"/>
      <c r="I51" s="24" t="s">
        <v>46</v>
      </c>
      <c r="J51" s="9">
        <f t="shared" si="6"/>
        <v>2.6900000000000004</v>
      </c>
      <c r="K51" s="9">
        <f t="shared" si="6"/>
        <v>3.58</v>
      </c>
      <c r="L51" s="9">
        <f>(2*J51)+J33</f>
        <v>11.240000000000002</v>
      </c>
      <c r="M51" s="9">
        <f>O60</f>
        <v>12.793497763452226</v>
      </c>
      <c r="N51" s="9">
        <f>J33+(K51*2)</f>
        <v>13.02</v>
      </c>
      <c r="O51" s="9">
        <f t="shared" si="9"/>
        <v>1.5534977634522242</v>
      </c>
      <c r="P51" s="9">
        <f t="shared" si="9"/>
        <v>0.22650223654777335</v>
      </c>
      <c r="Q51" s="4"/>
      <c r="R51" s="4"/>
      <c r="S51" s="4"/>
      <c r="T51" s="4"/>
      <c r="U51" s="4"/>
      <c r="V51" s="4"/>
    </row>
    <row r="52" spans="1:24" x14ac:dyDescent="0.25">
      <c r="B52" s="9" t="s">
        <v>31</v>
      </c>
      <c r="C52" s="9">
        <f t="shared" ref="C52:C54" si="10">(0.72*C34)+(0.72*D34)+(0.19*H34)</f>
        <v>1.5963616615808662</v>
      </c>
      <c r="D52" s="4"/>
      <c r="E52" s="4"/>
      <c r="F52" s="4"/>
      <c r="G52" s="4"/>
      <c r="H52" s="4"/>
      <c r="I52" s="24" t="s">
        <v>31</v>
      </c>
      <c r="J52" s="9">
        <f t="shared" si="6"/>
        <v>3.8355799999999993</v>
      </c>
      <c r="K52" s="9">
        <f t="shared" si="6"/>
        <v>1.3234000000000012</v>
      </c>
      <c r="L52" s="9">
        <f>(2*K52)+J34</f>
        <v>8.0431200000000018</v>
      </c>
      <c r="M52" s="9">
        <f>P60</f>
        <v>10.730491962051236</v>
      </c>
      <c r="N52" s="9">
        <f>J34+(J52*2)</f>
        <v>13.06748</v>
      </c>
      <c r="O52" s="9">
        <f t="shared" si="9"/>
        <v>2.687371962051234</v>
      </c>
      <c r="P52" s="9">
        <f t="shared" si="9"/>
        <v>2.336988037948764</v>
      </c>
      <c r="Q52" s="4"/>
      <c r="R52" s="4"/>
      <c r="S52" s="4"/>
      <c r="T52" s="4"/>
      <c r="U52" s="4"/>
      <c r="V52" s="4"/>
    </row>
    <row r="53" spans="1:24" x14ac:dyDescent="0.25">
      <c r="B53" s="9" t="s">
        <v>33</v>
      </c>
      <c r="C53" s="9">
        <f t="shared" si="10"/>
        <v>1.681877677800707</v>
      </c>
      <c r="D53" s="4"/>
      <c r="E53" s="4"/>
      <c r="F53" s="4"/>
      <c r="G53" s="4"/>
      <c r="H53" s="4"/>
      <c r="I53" s="24" t="s">
        <v>33</v>
      </c>
      <c r="J53" s="9">
        <f t="shared" si="6"/>
        <v>5.9692000000000007</v>
      </c>
      <c r="K53" s="9">
        <f t="shared" si="6"/>
        <v>2.727999999999998</v>
      </c>
      <c r="L53" s="9">
        <f>(2*K53)+J35</f>
        <v>18.705999999999996</v>
      </c>
      <c r="M53" s="9">
        <f>Q60</f>
        <v>23.322029654868146</v>
      </c>
      <c r="N53" s="9">
        <f>J35+(J53*2)</f>
        <v>25.188400000000001</v>
      </c>
      <c r="O53" s="9">
        <f t="shared" si="9"/>
        <v>4.6160296548681501</v>
      </c>
      <c r="P53" s="9">
        <f t="shared" si="9"/>
        <v>1.8663703451318554</v>
      </c>
      <c r="Q53" s="4"/>
      <c r="R53" s="4"/>
      <c r="S53" s="4"/>
      <c r="T53" s="4"/>
      <c r="U53" s="4"/>
      <c r="V53" s="4"/>
    </row>
    <row r="54" spans="1:24" x14ac:dyDescent="0.25">
      <c r="B54" s="9" t="s">
        <v>35</v>
      </c>
      <c r="C54" s="9">
        <f t="shared" si="10"/>
        <v>1.8088574121978178</v>
      </c>
      <c r="D54" s="4"/>
      <c r="E54" s="4"/>
      <c r="F54" s="4"/>
      <c r="G54" s="4"/>
      <c r="H54" s="4"/>
      <c r="I54" s="24" t="s">
        <v>35</v>
      </c>
      <c r="J54" s="9">
        <f t="shared" si="6"/>
        <v>6.8821999999999992</v>
      </c>
      <c r="K54" s="9">
        <f t="shared" si="6"/>
        <v>1.041500000000001</v>
      </c>
      <c r="L54" s="9">
        <f>(2*K54)+J36</f>
        <v>5.7460000000000022</v>
      </c>
      <c r="M54" s="9">
        <f>R60</f>
        <v>11.610070851348748</v>
      </c>
      <c r="N54" s="9">
        <f>J36+(J54*2)</f>
        <v>17.427399999999999</v>
      </c>
      <c r="O54" s="9">
        <f t="shared" si="9"/>
        <v>5.8640708513487461</v>
      </c>
      <c r="P54" s="9">
        <f t="shared" si="9"/>
        <v>5.8173291486512504</v>
      </c>
      <c r="Q54" s="4"/>
      <c r="R54" s="4"/>
      <c r="S54" s="4"/>
      <c r="T54" s="4"/>
      <c r="U54" s="4"/>
      <c r="V54" s="4"/>
    </row>
    <row r="55" spans="1:24" ht="15.75" thickBot="1" x14ac:dyDescent="0.3">
      <c r="B55" s="4"/>
      <c r="C55" s="4"/>
      <c r="D55" s="4"/>
      <c r="E55" s="4"/>
      <c r="F55" s="4"/>
      <c r="G55" s="4"/>
      <c r="H55" s="4"/>
      <c r="I55" s="4"/>
      <c r="J55" s="4"/>
      <c r="K55" s="4"/>
      <c r="L55" s="4"/>
      <c r="M55" s="4"/>
      <c r="N55" s="4"/>
      <c r="O55" s="4"/>
      <c r="P55" s="4"/>
      <c r="Q55" s="4"/>
      <c r="R55" s="4"/>
      <c r="S55" s="4"/>
      <c r="T55" s="4"/>
      <c r="U55" s="4"/>
      <c r="V55" s="4"/>
    </row>
    <row r="56" spans="1:24" ht="15.75" thickBot="1" x14ac:dyDescent="0.3">
      <c r="A56" s="31" t="s">
        <v>61</v>
      </c>
      <c r="B56" s="32"/>
      <c r="C56" s="32"/>
      <c r="D56" s="32"/>
      <c r="E56" s="32"/>
      <c r="F56" s="32"/>
      <c r="G56" s="32"/>
      <c r="H56" s="32"/>
      <c r="I56" s="32"/>
      <c r="J56" s="32"/>
      <c r="K56" s="32"/>
      <c r="L56" s="32"/>
      <c r="M56" s="32"/>
      <c r="N56" s="32"/>
      <c r="O56" s="32"/>
      <c r="P56" s="32"/>
      <c r="Q56" s="32"/>
      <c r="R56" s="33"/>
      <c r="S56" s="4"/>
      <c r="T56" s="4"/>
      <c r="U56" s="4"/>
      <c r="V56" s="4"/>
    </row>
    <row r="57" spans="1:24" x14ac:dyDescent="0.25">
      <c r="A57" s="26" t="s">
        <v>60</v>
      </c>
      <c r="B57" s="10" t="s">
        <v>59</v>
      </c>
      <c r="C57" s="27" t="s">
        <v>49</v>
      </c>
      <c r="D57" s="28" t="s">
        <v>2</v>
      </c>
      <c r="E57" s="28" t="s">
        <v>1</v>
      </c>
      <c r="F57" s="28" t="s">
        <v>11</v>
      </c>
      <c r="G57" s="28" t="s">
        <v>13</v>
      </c>
      <c r="H57" s="28" t="s">
        <v>18</v>
      </c>
      <c r="I57" s="28" t="s">
        <v>8</v>
      </c>
      <c r="J57" s="28" t="s">
        <v>12</v>
      </c>
      <c r="K57" s="29" t="s">
        <v>50</v>
      </c>
      <c r="L57" s="28" t="s">
        <v>19</v>
      </c>
      <c r="M57" s="28" t="s">
        <v>23</v>
      </c>
      <c r="N57" s="28" t="s">
        <v>45</v>
      </c>
      <c r="O57" s="28" t="s">
        <v>46</v>
      </c>
      <c r="P57" s="28" t="s">
        <v>31</v>
      </c>
      <c r="Q57" s="28" t="s">
        <v>33</v>
      </c>
      <c r="R57" s="30" t="s">
        <v>36</v>
      </c>
      <c r="S57" s="4"/>
      <c r="T57" s="2"/>
      <c r="U57" s="4"/>
      <c r="V57" s="4"/>
    </row>
    <row r="58" spans="1:24" x14ac:dyDescent="0.25">
      <c r="A58" s="17">
        <v>2020</v>
      </c>
      <c r="B58" s="14">
        <f>A58+1</f>
        <v>2021</v>
      </c>
      <c r="C58" s="14">
        <v>0</v>
      </c>
      <c r="D58" s="9">
        <f t="shared" ref="D58:D73" si="11">(($E$23)*$C$41*(C58^$C$41))+(1*C58)+8.11</f>
        <v>8.11</v>
      </c>
      <c r="E58" s="9">
        <f>($E$24*$C$42*C58^$C$42)+(1*C58)+4.57</f>
        <v>4.57</v>
      </c>
      <c r="F58" s="9">
        <f t="shared" ref="F58:F73" si="12">(($E$25*$C$43*C58^$C$43)+(0.5*C58)+4.55)</f>
        <v>4.55</v>
      </c>
      <c r="G58" s="9">
        <f t="shared" ref="G58:G73" si="13">(($E$26*$C$44*C58^$C$44)+(0.5*C58)+6.25)</f>
        <v>6.25</v>
      </c>
      <c r="H58" s="9">
        <f>(($E$27*$C$45*(C58+1)^($C$45)-(2*C58)+2.49))</f>
        <v>3.9110719063270967</v>
      </c>
      <c r="I58" s="9">
        <f t="shared" ref="I58:I73" si="14">(($E$28*$C$46*(C58+1)^$C$46)-(1.5*C58)+10.53)</f>
        <v>12.466171759806377</v>
      </c>
      <c r="J58" s="9">
        <f t="shared" ref="J58:J73" si="15">(($E$29*$C$47*(C58+1)^$C$47)-(2*C58)+8.95)</f>
        <v>11.034300218538936</v>
      </c>
      <c r="K58" s="9"/>
      <c r="L58" s="9">
        <f t="shared" ref="L58" si="16">(($E$30)*$C$48*(C58^$C$48))+(1*C58)+7.47</f>
        <v>7.47</v>
      </c>
      <c r="M58" s="9">
        <f t="shared" ref="M58" si="17">(($E$31)*$C$49*(C58^$C$49))+(0.5*C58)+4.15</f>
        <v>4.1500000000000004</v>
      </c>
      <c r="N58" s="9">
        <f t="shared" ref="N58:N73" si="18">(($E$32*$C$50*(C58+1)^$C$50)-(2*C58)+6.87)</f>
        <v>8.4600491809611569</v>
      </c>
      <c r="O58" s="9">
        <f t="shared" ref="O58:O73" si="19">(($E$33*$C$51*(C58+1)^$C$51)-(2*C58)+5.86)</f>
        <v>7.4722296645777915</v>
      </c>
      <c r="P58" s="9">
        <f t="shared" ref="P58" si="20">(($E$34*$C$52*C58^$C$52)+(0.5*C58)+5.4)</f>
        <v>5.4</v>
      </c>
      <c r="Q58" s="9">
        <f t="shared" ref="Q58:Q73" si="21">(($E$35*$C$53*(C58+1)^($C$53)-(1.5*C58)+13.25))</f>
        <v>15.310076919826328</v>
      </c>
      <c r="R58" s="9">
        <f t="shared" ref="R58:R73" si="22">(($E$36*$C$54*(C58+1)^$C$54)-(2*C58)+3.66)</f>
        <v>5.2980462584665506</v>
      </c>
      <c r="S58" s="4"/>
      <c r="T58" s="2"/>
      <c r="U58" s="4"/>
      <c r="V58" s="4"/>
      <c r="W58" s="4"/>
      <c r="X58" s="4"/>
    </row>
    <row r="59" spans="1:24" x14ac:dyDescent="0.25">
      <c r="A59" s="17">
        <v>2021</v>
      </c>
      <c r="B59" s="14">
        <f t="shared" ref="B59:B73" si="23">A59+1</f>
        <v>2022</v>
      </c>
      <c r="C59" s="14">
        <v>1</v>
      </c>
      <c r="D59" s="9">
        <f t="shared" si="11"/>
        <v>10.572133026993445</v>
      </c>
      <c r="E59" s="9">
        <f>($E$24*$C$42*C59^$C$42)+(1*C59)+4.57</f>
        <v>6.7974692040096603</v>
      </c>
      <c r="F59" s="9">
        <f t="shared" si="12"/>
        <v>6.4005833224174182</v>
      </c>
      <c r="G59" s="9">
        <f t="shared" si="13"/>
        <v>8.5289738596839637</v>
      </c>
      <c r="H59" s="9">
        <f>(($E$27*$C$45*(C59+1)^($C$45)-(2*C59)+2.49))</f>
        <v>4.7868169686859536</v>
      </c>
      <c r="I59" s="9">
        <f t="shared" si="14"/>
        <v>15.27907581888085</v>
      </c>
      <c r="J59" s="9">
        <f t="shared" si="15"/>
        <v>13.989790454139474</v>
      </c>
      <c r="K59" s="9"/>
      <c r="L59" s="9">
        <f t="shared" ref="L59:L73" si="24">(($E$30)*$C$48*(C59^$C$48))+(1*C59)+7.47</f>
        <v>9.7551851060485504</v>
      </c>
      <c r="M59" s="9">
        <f t="shared" ref="M59:M73" si="25">(($E$31)*$C$49*(C59^$C$49))+(0.5*C59)+4.15</f>
        <v>6.1646596473417041</v>
      </c>
      <c r="N59" s="9">
        <f t="shared" si="18"/>
        <v>9.9904959413280157</v>
      </c>
      <c r="O59" s="9">
        <f t="shared" si="19"/>
        <v>9.2543501816654796</v>
      </c>
      <c r="P59" s="9">
        <f t="shared" ref="P59:P73" si="26">(($E$34*$C$52*C59^$C$52)+(0.5*C59)+5.4)</f>
        <v>7.3321367614492523</v>
      </c>
      <c r="Q59" s="9">
        <f t="shared" si="21"/>
        <v>18.359659186455659</v>
      </c>
      <c r="R59" s="9">
        <f t="shared" si="22"/>
        <v>7.3991357979843597</v>
      </c>
      <c r="S59" s="4"/>
      <c r="T59" s="2"/>
      <c r="U59" s="4"/>
      <c r="V59" s="4"/>
      <c r="W59" s="4"/>
      <c r="X59" s="4"/>
    </row>
    <row r="60" spans="1:24" x14ac:dyDescent="0.25">
      <c r="A60" s="17">
        <v>2022</v>
      </c>
      <c r="B60" s="14">
        <f t="shared" si="23"/>
        <v>2023</v>
      </c>
      <c r="C60" s="14">
        <v>2</v>
      </c>
      <c r="D60" s="9">
        <f t="shared" si="11"/>
        <v>14.196016681242689</v>
      </c>
      <c r="E60" s="9">
        <f t="shared" ref="E60:E73" si="27">($E$24*$C$42*C60^$C$42)+(1*C60)+4.57</f>
        <v>9.7880001280471234</v>
      </c>
      <c r="F60" s="9">
        <f t="shared" si="12"/>
        <v>9.5259363811388127</v>
      </c>
      <c r="G60" s="9">
        <f t="shared" si="13"/>
        <v>12.847346999885467</v>
      </c>
      <c r="H60" s="9">
        <f t="shared" ref="H60:H73" si="28">(($E$27*$C$45*(C60+1)^($C$45)-(1.5*C60)+2.49))</f>
        <v>7.6980379034000173</v>
      </c>
      <c r="I60" s="9">
        <f t="shared" si="14"/>
        <v>19.931858742330256</v>
      </c>
      <c r="J60" s="9">
        <f t="shared" si="15"/>
        <v>19.297313663916906</v>
      </c>
      <c r="K60" s="9"/>
      <c r="L60" s="9">
        <f t="shared" si="24"/>
        <v>13.218319799533486</v>
      </c>
      <c r="M60" s="9">
        <f t="shared" si="25"/>
        <v>9.9637022773772124</v>
      </c>
      <c r="N60" s="9">
        <f t="shared" si="18"/>
        <v>13.018815084000579</v>
      </c>
      <c r="O60" s="9">
        <f t="shared" si="19"/>
        <v>12.793497763452226</v>
      </c>
      <c r="P60" s="9">
        <f t="shared" si="26"/>
        <v>10.730491962051236</v>
      </c>
      <c r="Q60" s="9">
        <f t="shared" si="21"/>
        <v>23.322029654868146</v>
      </c>
      <c r="R60" s="9">
        <f t="shared" si="22"/>
        <v>11.610070851348748</v>
      </c>
      <c r="S60" s="4"/>
      <c r="T60" s="2"/>
      <c r="U60" s="4"/>
      <c r="V60" s="4"/>
      <c r="W60" s="4"/>
      <c r="X60" s="4"/>
    </row>
    <row r="61" spans="1:24" x14ac:dyDescent="0.25">
      <c r="A61" s="17">
        <v>2023</v>
      </c>
      <c r="B61" s="14">
        <f t="shared" si="23"/>
        <v>2024</v>
      </c>
      <c r="C61" s="14">
        <v>3</v>
      </c>
      <c r="D61" s="9">
        <f t="shared" si="11"/>
        <v>18.563781351620044</v>
      </c>
      <c r="E61" s="9">
        <f t="shared" si="27"/>
        <v>13.225057176049164</v>
      </c>
      <c r="F61" s="9">
        <f t="shared" si="12"/>
        <v>13.527198296269084</v>
      </c>
      <c r="G61" s="9">
        <f t="shared" si="13"/>
        <v>18.694198776910927</v>
      </c>
      <c r="H61" s="9">
        <f t="shared" si="28"/>
        <v>10.982049156827038</v>
      </c>
      <c r="I61" s="9">
        <f t="shared" si="14"/>
        <v>26.199155134266903</v>
      </c>
      <c r="J61" s="9">
        <f t="shared" si="15"/>
        <v>26.727116749972399</v>
      </c>
      <c r="K61" s="9"/>
      <c r="L61" s="9">
        <f t="shared" si="24"/>
        <v>17.480818309677833</v>
      </c>
      <c r="M61" s="9">
        <f t="shared" si="25"/>
        <v>15.117306450734565</v>
      </c>
      <c r="N61" s="9">
        <f t="shared" si="18"/>
        <v>17.35972811602436</v>
      </c>
      <c r="O61" s="9">
        <f t="shared" si="19"/>
        <v>17.908925982300921</v>
      </c>
      <c r="P61" s="9">
        <f t="shared" si="26"/>
        <v>15.172610401727509</v>
      </c>
      <c r="Q61" s="9">
        <f t="shared" si="21"/>
        <v>29.956778320093374</v>
      </c>
      <c r="R61" s="9">
        <f t="shared" si="22"/>
        <v>17.767905706240573</v>
      </c>
      <c r="S61" s="4"/>
      <c r="T61" s="2"/>
      <c r="U61" s="4"/>
      <c r="V61" s="4"/>
      <c r="W61" s="4"/>
      <c r="X61" s="4"/>
    </row>
    <row r="62" spans="1:24" x14ac:dyDescent="0.25">
      <c r="A62" s="17">
        <v>2024</v>
      </c>
      <c r="B62" s="14">
        <f t="shared" si="23"/>
        <v>2025</v>
      </c>
      <c r="C62" s="14">
        <v>4</v>
      </c>
      <c r="D62" s="9">
        <f t="shared" si="11"/>
        <v>23.528613772595108</v>
      </c>
      <c r="E62" s="9">
        <f>($E$24*$C$42*C62^$C$42)+(1*C62)+4.57</f>
        <v>17.00648442688734</v>
      </c>
      <c r="F62" s="9">
        <f t="shared" si="12"/>
        <v>18.254624101657228</v>
      </c>
      <c r="G62" s="9">
        <f t="shared" si="13"/>
        <v>25.861441149951851</v>
      </c>
      <c r="H62" s="9">
        <f t="shared" si="28"/>
        <v>15.04128597508573</v>
      </c>
      <c r="I62" s="9">
        <f t="shared" si="14"/>
        <v>33.940870017095349</v>
      </c>
      <c r="J62" s="9">
        <f t="shared" si="15"/>
        <v>36.132784382540365</v>
      </c>
      <c r="K62" s="9"/>
      <c r="L62" s="9">
        <f t="shared" si="24"/>
        <v>22.402200547182488</v>
      </c>
      <c r="M62" s="9">
        <f t="shared" si="25"/>
        <v>21.448307877874747</v>
      </c>
      <c r="N62" s="9">
        <f t="shared" si="18"/>
        <v>22.898200503061233</v>
      </c>
      <c r="O62" s="9">
        <f t="shared" si="19"/>
        <v>24.48604037669784</v>
      </c>
      <c r="P62" s="9">
        <f t="shared" si="26"/>
        <v>20.494531987582725</v>
      </c>
      <c r="Q62" s="9">
        <f t="shared" si="21"/>
        <v>38.114943353798992</v>
      </c>
      <c r="R62" s="9">
        <f t="shared" si="22"/>
        <v>25.76670556629621</v>
      </c>
      <c r="S62" s="4"/>
      <c r="T62" s="2"/>
      <c r="U62" s="4"/>
      <c r="V62" s="4"/>
      <c r="W62" s="4"/>
      <c r="X62" s="4"/>
    </row>
    <row r="63" spans="1:24" x14ac:dyDescent="0.25">
      <c r="A63" s="17">
        <v>2025</v>
      </c>
      <c r="B63" s="14">
        <f t="shared" si="23"/>
        <v>2026</v>
      </c>
      <c r="C63" s="14">
        <v>5</v>
      </c>
      <c r="D63" s="9">
        <f t="shared" si="11"/>
        <v>29.006230705814048</v>
      </c>
      <c r="E63" s="9">
        <f t="shared" si="27"/>
        <v>21.075691019428881</v>
      </c>
      <c r="F63" s="9">
        <f t="shared" si="12"/>
        <v>23.619727389232455</v>
      </c>
      <c r="G63" s="9">
        <f t="shared" si="13"/>
        <v>34.22151510743565</v>
      </c>
      <c r="H63" s="9">
        <f t="shared" si="28"/>
        <v>19.80819279229965</v>
      </c>
      <c r="I63" s="9">
        <f t="shared" si="14"/>
        <v>43.057520897021192</v>
      </c>
      <c r="J63" s="9">
        <f t="shared" si="15"/>
        <v>47.408509419812887</v>
      </c>
      <c r="K63" s="9"/>
      <c r="L63" s="9">
        <f t="shared" si="24"/>
        <v>27.8998821972638</v>
      </c>
      <c r="M63" s="9">
        <f t="shared" si="25"/>
        <v>28.847504445741123</v>
      </c>
      <c r="N63" s="9">
        <f t="shared" si="18"/>
        <v>29.552615776387757</v>
      </c>
      <c r="O63" s="9">
        <f t="shared" si="19"/>
        <v>32.442328772596433</v>
      </c>
      <c r="P63" s="9">
        <f t="shared" si="26"/>
        <v>26.597924864463323</v>
      </c>
      <c r="Q63" s="9">
        <f t="shared" si="21"/>
        <v>47.690987767196589</v>
      </c>
      <c r="R63" s="9">
        <f t="shared" si="22"/>
        <v>35.528829440524319</v>
      </c>
      <c r="S63" s="4"/>
      <c r="T63" s="2"/>
      <c r="U63" s="4"/>
      <c r="V63" s="4"/>
      <c r="W63" s="4"/>
      <c r="X63" s="4"/>
    </row>
    <row r="64" spans="1:24" x14ac:dyDescent="0.25">
      <c r="A64" s="17">
        <v>2026</v>
      </c>
      <c r="B64" s="14">
        <f t="shared" si="23"/>
        <v>2027</v>
      </c>
      <c r="C64" s="14">
        <v>6</v>
      </c>
      <c r="D64" s="9">
        <f t="shared" si="11"/>
        <v>34.940030085348539</v>
      </c>
      <c r="E64" s="9">
        <f t="shared" si="27"/>
        <v>25.395605935525197</v>
      </c>
      <c r="F64" s="9">
        <f t="shared" si="12"/>
        <v>29.561870161341474</v>
      </c>
      <c r="G64" s="9">
        <f t="shared" si="13"/>
        <v>43.684726433234488</v>
      </c>
      <c r="H64" s="9">
        <f t="shared" si="28"/>
        <v>25.232166269280093</v>
      </c>
      <c r="I64" s="9">
        <f t="shared" si="14"/>
        <v>53.473110123265272</v>
      </c>
      <c r="J64" s="9">
        <f t="shared" si="15"/>
        <v>60.472351194514971</v>
      </c>
      <c r="K64" s="9"/>
      <c r="L64" s="9">
        <f t="shared" si="24"/>
        <v>33.917474031110167</v>
      </c>
      <c r="M64" s="9">
        <f t="shared" si="25"/>
        <v>37.23781194013538</v>
      </c>
      <c r="N64" s="9">
        <f t="shared" si="18"/>
        <v>37.260666579465713</v>
      </c>
      <c r="O64" s="9">
        <f t="shared" si="19"/>
        <v>41.71407136648714</v>
      </c>
      <c r="P64" s="9">
        <f t="shared" si="26"/>
        <v>33.414700979821092</v>
      </c>
      <c r="Q64" s="9">
        <f t="shared" si="21"/>
        <v>58.60443247544557</v>
      </c>
      <c r="R64" s="9">
        <f t="shared" si="22"/>
        <v>46.993483992671301</v>
      </c>
      <c r="S64" s="4"/>
      <c r="T64" s="2"/>
      <c r="U64" s="4"/>
      <c r="V64" s="4"/>
      <c r="W64" s="4"/>
      <c r="X64" s="4"/>
    </row>
    <row r="65" spans="1:24" x14ac:dyDescent="0.25">
      <c r="A65" s="17">
        <v>2027</v>
      </c>
      <c r="B65" s="14">
        <f t="shared" si="23"/>
        <v>2028</v>
      </c>
      <c r="C65" s="14">
        <v>7</v>
      </c>
      <c r="D65" s="9">
        <f t="shared" si="11"/>
        <v>41.288609876743621</v>
      </c>
      <c r="E65" s="9">
        <f t="shared" si="27"/>
        <v>29.939632193010841</v>
      </c>
      <c r="F65" s="9">
        <f t="shared" si="12"/>
        <v>36.035995609296798</v>
      </c>
      <c r="G65" s="9">
        <f t="shared" si="13"/>
        <v>54.183078194655259</v>
      </c>
      <c r="H65" s="9">
        <f t="shared" si="28"/>
        <v>31.273344513748349</v>
      </c>
      <c r="I65" s="9">
        <f t="shared" si="14"/>
        <v>65.126796809704558</v>
      </c>
      <c r="J65" s="9">
        <f t="shared" si="15"/>
        <v>75.257970048935931</v>
      </c>
      <c r="K65" s="9"/>
      <c r="L65" s="9">
        <f t="shared" si="24"/>
        <v>40.413193934079302</v>
      </c>
      <c r="M65" s="9">
        <f t="shared" si="25"/>
        <v>46.560616494626011</v>
      </c>
      <c r="N65" s="9">
        <f t="shared" si="18"/>
        <v>45.972499534426575</v>
      </c>
      <c r="O65" s="9">
        <f t="shared" si="19"/>
        <v>52.249800095254351</v>
      </c>
      <c r="P65" s="9">
        <f t="shared" si="26"/>
        <v>40.89385735178022</v>
      </c>
      <c r="Q65" s="9">
        <f t="shared" si="21"/>
        <v>70.790943417952889</v>
      </c>
      <c r="R65" s="9">
        <f t="shared" si="22"/>
        <v>60.111002750808922</v>
      </c>
      <c r="S65" s="4"/>
      <c r="T65" s="2"/>
      <c r="U65" s="4"/>
      <c r="V65" s="4"/>
      <c r="W65" s="4"/>
      <c r="X65" s="4"/>
    </row>
    <row r="66" spans="1:24" x14ac:dyDescent="0.25">
      <c r="A66" s="17">
        <v>2028</v>
      </c>
      <c r="B66" s="14">
        <f t="shared" si="23"/>
        <v>2029</v>
      </c>
      <c r="C66" s="14">
        <v>8</v>
      </c>
      <c r="D66" s="9">
        <f t="shared" si="11"/>
        <v>48.01998731998431</v>
      </c>
      <c r="E66" s="9">
        <f t="shared" si="27"/>
        <v>34.687547126483636</v>
      </c>
      <c r="F66" s="9">
        <f t="shared" si="12"/>
        <v>43.00684543922587</v>
      </c>
      <c r="G66" s="9">
        <f t="shared" si="13"/>
        <v>65.662476550866671</v>
      </c>
      <c r="H66" s="9">
        <f t="shared" si="28"/>
        <v>37.899202816330948</v>
      </c>
      <c r="I66" s="9">
        <f t="shared" si="14"/>
        <v>77.968252048513747</v>
      </c>
      <c r="J66" s="9">
        <f t="shared" si="15"/>
        <v>91.709961516058073</v>
      </c>
      <c r="K66" s="9"/>
      <c r="L66" s="9">
        <f t="shared" si="24"/>
        <v>47.354421606366571</v>
      </c>
      <c r="M66" s="9">
        <f t="shared" si="25"/>
        <v>56.769173027410886</v>
      </c>
      <c r="N66" s="9">
        <f t="shared" si="18"/>
        <v>55.646894225986763</v>
      </c>
      <c r="O66" s="9">
        <f t="shared" si="19"/>
        <v>64.00661568996756</v>
      </c>
      <c r="P66" s="9">
        <f t="shared" si="26"/>
        <v>48.99521677361755</v>
      </c>
      <c r="Q66" s="9">
        <f t="shared" si="21"/>
        <v>84.19736844688201</v>
      </c>
      <c r="R66" s="9">
        <f t="shared" si="22"/>
        <v>74.839585200445129</v>
      </c>
      <c r="S66" s="4"/>
      <c r="T66" s="2"/>
      <c r="U66" s="4"/>
      <c r="V66" s="4"/>
      <c r="W66" s="4"/>
      <c r="X66" s="4"/>
    </row>
    <row r="67" spans="1:24" x14ac:dyDescent="0.25">
      <c r="A67" s="17">
        <v>2029</v>
      </c>
      <c r="B67" s="14">
        <f t="shared" si="23"/>
        <v>2030</v>
      </c>
      <c r="C67" s="14">
        <v>9</v>
      </c>
      <c r="D67" s="9">
        <f t="shared" si="11"/>
        <v>55.108496314663881</v>
      </c>
      <c r="E67" s="9">
        <f t="shared" si="27"/>
        <v>39.623339309792946</v>
      </c>
      <c r="F67" s="9">
        <f t="shared" si="12"/>
        <v>50.445812782330449</v>
      </c>
      <c r="G67" s="9">
        <f t="shared" si="13"/>
        <v>78.0784130716889</v>
      </c>
      <c r="H67" s="9">
        <f t="shared" si="28"/>
        <v>45.082503140616225</v>
      </c>
      <c r="I67" s="9">
        <f t="shared" si="14"/>
        <v>91.954820437654831</v>
      </c>
      <c r="J67" s="9">
        <f t="shared" si="15"/>
        <v>109.78097619203578</v>
      </c>
      <c r="K67" s="9"/>
      <c r="L67" s="9">
        <f t="shared" si="24"/>
        <v>54.714742442149927</v>
      </c>
      <c r="M67" s="9">
        <f t="shared" si="25"/>
        <v>67.824938468470364</v>
      </c>
      <c r="N67" s="9">
        <f t="shared" si="18"/>
        <v>66.248929297625665</v>
      </c>
      <c r="O67" s="9">
        <f t="shared" si="19"/>
        <v>76.947918984970556</v>
      </c>
      <c r="P67" s="9">
        <f t="shared" si="26"/>
        <v>57.685996911018634</v>
      </c>
      <c r="Q67" s="9">
        <f t="shared" si="21"/>
        <v>98.778708304284947</v>
      </c>
      <c r="R67" s="9">
        <f t="shared" si="22"/>
        <v>91.143267509587204</v>
      </c>
      <c r="S67" s="4"/>
      <c r="T67" s="2"/>
      <c r="U67" s="4"/>
      <c r="V67" s="4"/>
      <c r="W67" s="4"/>
      <c r="X67" s="4"/>
    </row>
    <row r="68" spans="1:24" x14ac:dyDescent="0.25">
      <c r="A68" s="17">
        <v>2030</v>
      </c>
      <c r="B68" s="14">
        <f t="shared" si="23"/>
        <v>2031</v>
      </c>
      <c r="C68" s="14">
        <v>10</v>
      </c>
      <c r="D68" s="9">
        <f t="shared" si="11"/>
        <v>62.532951013149976</v>
      </c>
      <c r="E68" s="9">
        <f t="shared" si="27"/>
        <v>44.733946315594402</v>
      </c>
      <c r="F68" s="9">
        <f t="shared" si="12"/>
        <v>58.32905780332176</v>
      </c>
      <c r="G68" s="9">
        <f t="shared" si="13"/>
        <v>91.393341001351502</v>
      </c>
      <c r="H68" s="9">
        <f t="shared" si="28"/>
        <v>52.799972258995673</v>
      </c>
      <c r="I68" s="9">
        <f t="shared" si="14"/>
        <v>107.0496673734755</v>
      </c>
      <c r="J68" s="9">
        <f t="shared" si="15"/>
        <v>129.42982352611159</v>
      </c>
      <c r="K68" s="9"/>
      <c r="L68" s="9">
        <f t="shared" si="24"/>
        <v>62.47218114283708</v>
      </c>
      <c r="M68" s="9">
        <f t="shared" si="25"/>
        <v>79.695338611275048</v>
      </c>
      <c r="N68" s="9">
        <f t="shared" si="18"/>
        <v>77.748459730329472</v>
      </c>
      <c r="O68" s="9">
        <f t="shared" si="19"/>
        <v>91.041919934247176</v>
      </c>
      <c r="P68" s="9">
        <f t="shared" si="26"/>
        <v>66.938743723509717</v>
      </c>
      <c r="Q68" s="9">
        <f t="shared" si="21"/>
        <v>114.49614177091682</v>
      </c>
      <c r="R68" s="9">
        <f t="shared" si="22"/>
        <v>108.99057715928811</v>
      </c>
      <c r="S68" s="4"/>
      <c r="T68" s="2"/>
      <c r="U68" s="4"/>
      <c r="V68" s="4"/>
      <c r="W68" s="4"/>
      <c r="X68" s="4"/>
    </row>
    <row r="69" spans="1:24" x14ac:dyDescent="0.25">
      <c r="A69" s="17">
        <v>2031</v>
      </c>
      <c r="B69" s="14">
        <f t="shared" si="23"/>
        <v>2032</v>
      </c>
      <c r="C69" s="14">
        <v>11</v>
      </c>
      <c r="D69" s="9">
        <f t="shared" si="11"/>
        <v>70.275479634346397</v>
      </c>
      <c r="E69" s="9">
        <f t="shared" si="27"/>
        <v>50.008462864813112</v>
      </c>
      <c r="F69" s="9">
        <f t="shared" si="12"/>
        <v>66.636299100640883</v>
      </c>
      <c r="G69" s="9">
        <f t="shared" si="13"/>
        <v>105.57497099363755</v>
      </c>
      <c r="H69" s="9">
        <f t="shared" si="28"/>
        <v>61.031404623705775</v>
      </c>
      <c r="I69" s="9">
        <f t="shared" si="14"/>
        <v>123.220507846441</v>
      </c>
      <c r="J69" s="9">
        <f t="shared" si="15"/>
        <v>150.62016085358337</v>
      </c>
      <c r="K69" s="9"/>
      <c r="L69" s="9">
        <f t="shared" si="24"/>
        <v>70.608070813877703</v>
      </c>
      <c r="M69" s="9">
        <f t="shared" si="25"/>
        <v>92.352314787070867</v>
      </c>
      <c r="N69" s="9">
        <f t="shared" si="18"/>
        <v>90.119072443039585</v>
      </c>
      <c r="O69" s="9">
        <f t="shared" si="19"/>
        <v>106.26060842192761</v>
      </c>
      <c r="P69" s="9">
        <f t="shared" si="26"/>
        <v>76.729999228809803</v>
      </c>
      <c r="Q69" s="9">
        <f t="shared" si="21"/>
        <v>131.31567199823093</v>
      </c>
      <c r="R69" s="9">
        <f t="shared" si="22"/>
        <v>128.35359709460326</v>
      </c>
      <c r="S69" s="4"/>
      <c r="T69" s="2"/>
      <c r="U69" s="4"/>
      <c r="V69" s="4"/>
      <c r="W69" s="4"/>
      <c r="X69" s="4"/>
    </row>
    <row r="70" spans="1:24" x14ac:dyDescent="0.25">
      <c r="A70" s="17">
        <v>2032</v>
      </c>
      <c r="B70" s="14">
        <f t="shared" si="23"/>
        <v>2033</v>
      </c>
      <c r="C70" s="14">
        <v>12</v>
      </c>
      <c r="D70" s="9">
        <f t="shared" si="11"/>
        <v>78.320743364805224</v>
      </c>
      <c r="E70" s="9">
        <f t="shared" si="27"/>
        <v>55.43761610234322</v>
      </c>
      <c r="F70" s="9">
        <f t="shared" si="12"/>
        <v>75.349997111420535</v>
      </c>
      <c r="G70" s="9">
        <f t="shared" si="13"/>
        <v>120.5951067275282</v>
      </c>
      <c r="H70" s="9">
        <f t="shared" si="28"/>
        <v>69.759028375281801</v>
      </c>
      <c r="I70" s="9">
        <f t="shared" si="14"/>
        <v>140.43869930021495</v>
      </c>
      <c r="J70" s="9">
        <f t="shared" si="15"/>
        <v>173.31955151903298</v>
      </c>
      <c r="K70" s="9"/>
      <c r="L70" s="9">
        <f t="shared" si="24"/>
        <v>79.106290057007271</v>
      </c>
      <c r="M70" s="9">
        <f t="shared" si="25"/>
        <v>105.7713292614726</v>
      </c>
      <c r="N70" s="9">
        <f t="shared" si="18"/>
        <v>103.33734124975349</v>
      </c>
      <c r="O70" s="9">
        <f t="shared" si="19"/>
        <v>122.57901586842722</v>
      </c>
      <c r="P70" s="9">
        <f t="shared" si="26"/>
        <v>87.039397327256594</v>
      </c>
      <c r="Q70" s="9">
        <f t="shared" si="21"/>
        <v>149.20716137545551</v>
      </c>
      <c r="R70" s="9">
        <f t="shared" si="22"/>
        <v>149.20728966977293</v>
      </c>
      <c r="S70" s="4"/>
      <c r="T70" s="2"/>
      <c r="U70" s="4"/>
      <c r="V70" s="4"/>
      <c r="W70" s="4"/>
      <c r="X70" s="4"/>
    </row>
    <row r="71" spans="1:24" x14ac:dyDescent="0.25">
      <c r="A71" s="17">
        <v>2033</v>
      </c>
      <c r="B71" s="14">
        <f t="shared" si="23"/>
        <v>2034</v>
      </c>
      <c r="C71" s="14">
        <v>13</v>
      </c>
      <c r="D71" s="9">
        <f t="shared" si="11"/>
        <v>86.655390824679472</v>
      </c>
      <c r="E71" s="9">
        <f t="shared" si="27"/>
        <v>61.013402603669647</v>
      </c>
      <c r="F71" s="9">
        <f t="shared" si="12"/>
        <v>84.454779332691245</v>
      </c>
      <c r="G71" s="9">
        <f t="shared" si="13"/>
        <v>136.42881714566025</v>
      </c>
      <c r="H71" s="9">
        <f t="shared" si="28"/>
        <v>78.967042429336274</v>
      </c>
      <c r="I71" s="9">
        <f t="shared" si="14"/>
        <v>158.67857342058468</v>
      </c>
      <c r="J71" s="9">
        <f t="shared" si="15"/>
        <v>197.4987668168605</v>
      </c>
      <c r="K71" s="9"/>
      <c r="L71" s="9">
        <f t="shared" si="24"/>
        <v>87.952726727563686</v>
      </c>
      <c r="M71" s="9">
        <f t="shared" si="25"/>
        <v>119.93065711207259</v>
      </c>
      <c r="N71" s="9">
        <f t="shared" si="18"/>
        <v>117.38227821716416</v>
      </c>
      <c r="O71" s="9">
        <f t="shared" si="19"/>
        <v>139.9746686733645</v>
      </c>
      <c r="P71" s="9">
        <f t="shared" si="26"/>
        <v>97.84902482566909</v>
      </c>
      <c r="Q71" s="9">
        <f t="shared" si="21"/>
        <v>168.14362116934927</v>
      </c>
      <c r="R71" s="9">
        <f t="shared" si="22"/>
        <v>171.52899311794934</v>
      </c>
      <c r="S71" s="4"/>
      <c r="T71" s="2"/>
      <c r="U71" s="4"/>
      <c r="V71" s="4"/>
      <c r="W71" s="4"/>
      <c r="X71" s="4"/>
    </row>
    <row r="72" spans="1:24" x14ac:dyDescent="0.25">
      <c r="A72" s="17">
        <v>2034</v>
      </c>
      <c r="B72" s="14">
        <f t="shared" si="23"/>
        <v>2035</v>
      </c>
      <c r="C72" s="14">
        <v>14</v>
      </c>
      <c r="D72" s="9">
        <f t="shared" si="11"/>
        <v>95.267663956248626</v>
      </c>
      <c r="E72" s="9">
        <f t="shared" si="27"/>
        <v>66.728828389491895</v>
      </c>
      <c r="F72" s="9">
        <f t="shared" si="12"/>
        <v>93.937022154420134</v>
      </c>
      <c r="G72" s="9">
        <f t="shared" si="13"/>
        <v>153.05382880539506</v>
      </c>
      <c r="H72" s="9">
        <f t="shared" si="28"/>
        <v>88.64126923722884</v>
      </c>
      <c r="I72" s="9">
        <f t="shared" si="14"/>
        <v>177.91693085655214</v>
      </c>
      <c r="J72" s="9">
        <f t="shared" si="15"/>
        <v>223.13125518410479</v>
      </c>
      <c r="K72" s="9"/>
      <c r="L72" s="9">
        <f t="shared" si="24"/>
        <v>97.1348882939769</v>
      </c>
      <c r="M72" s="9">
        <f t="shared" si="25"/>
        <v>134.8108657021132</v>
      </c>
      <c r="N72" s="9">
        <f t="shared" si="18"/>
        <v>132.234918913672</v>
      </c>
      <c r="O72" s="9">
        <f t="shared" si="19"/>
        <v>158.42717309221055</v>
      </c>
      <c r="P72" s="9">
        <f t="shared" si="26"/>
        <v>109.14295488141309</v>
      </c>
      <c r="Q72" s="9">
        <f t="shared" si="21"/>
        <v>188.10067476543523</v>
      </c>
      <c r="R72" s="9">
        <f t="shared" si="22"/>
        <v>195.29803693476831</v>
      </c>
      <c r="S72" s="4"/>
      <c r="T72" s="2"/>
      <c r="U72" s="4"/>
      <c r="V72" s="4"/>
      <c r="W72" s="4"/>
      <c r="X72" s="4"/>
    </row>
    <row r="73" spans="1:24" x14ac:dyDescent="0.25">
      <c r="A73" s="17">
        <v>2035</v>
      </c>
      <c r="B73" s="14">
        <f t="shared" si="23"/>
        <v>2036</v>
      </c>
      <c r="C73" s="14">
        <v>15</v>
      </c>
      <c r="D73" s="9">
        <f t="shared" si="11"/>
        <v>104.14710524868535</v>
      </c>
      <c r="E73" s="9">
        <f t="shared" si="27"/>
        <v>72.57771730344254</v>
      </c>
      <c r="F73" s="9">
        <f t="shared" si="12"/>
        <v>103.78453821616228</v>
      </c>
      <c r="G73" s="9">
        <f t="shared" si="13"/>
        <v>170.45006783258094</v>
      </c>
      <c r="H73" s="9">
        <f t="shared" si="28"/>
        <v>98.768888346103139</v>
      </c>
      <c r="I73" s="9">
        <f t="shared" si="14"/>
        <v>198.13265064025398</v>
      </c>
      <c r="J73" s="9">
        <f t="shared" si="15"/>
        <v>250.19272977245134</v>
      </c>
      <c r="K73" s="9"/>
      <c r="L73" s="9">
        <f t="shared" si="24"/>
        <v>106.64161085639167</v>
      </c>
      <c r="M73" s="9">
        <f t="shared" si="25"/>
        <v>150.3944218232115</v>
      </c>
      <c r="N73" s="9">
        <f t="shared" si="18"/>
        <v>147.87800188836854</v>
      </c>
      <c r="O73" s="9">
        <f t="shared" si="19"/>
        <v>177.91789303590815</v>
      </c>
      <c r="P73" s="9">
        <f t="shared" si="26"/>
        <v>120.90689702843019</v>
      </c>
      <c r="Q73" s="9">
        <f t="shared" si="21"/>
        <v>209.05614303251173</v>
      </c>
      <c r="R73" s="9">
        <f t="shared" si="22"/>
        <v>220.49544179611377</v>
      </c>
      <c r="S73" s="4"/>
      <c r="T73" s="4"/>
      <c r="U73" s="4"/>
      <c r="V73" s="4"/>
    </row>
    <row r="74" spans="1:24" x14ac:dyDescent="0.25">
      <c r="B74" s="4"/>
      <c r="C74" s="4"/>
      <c r="D74" s="4"/>
      <c r="E74" s="4"/>
      <c r="F74" s="4"/>
      <c r="G74" s="4"/>
      <c r="H74" s="4"/>
      <c r="I74" s="4"/>
      <c r="J74" s="4"/>
      <c r="K74" s="4"/>
      <c r="L74" s="4"/>
      <c r="M74" s="4"/>
      <c r="N74" s="4"/>
      <c r="O74" s="4"/>
      <c r="P74" s="4"/>
      <c r="Q74" s="4"/>
      <c r="R74" s="4"/>
      <c r="S74" s="4"/>
      <c r="T74" s="4"/>
      <c r="U74" s="4"/>
      <c r="V74" s="4"/>
    </row>
    <row r="75" spans="1:24" x14ac:dyDescent="0.25">
      <c r="B75" s="4"/>
      <c r="C75" s="4"/>
      <c r="D75" s="4"/>
      <c r="E75" s="4"/>
      <c r="F75" s="4"/>
      <c r="G75" s="4"/>
      <c r="H75" s="4"/>
      <c r="I75" s="4"/>
      <c r="J75" s="4"/>
      <c r="K75" s="4"/>
      <c r="L75" s="4"/>
      <c r="M75" s="4"/>
      <c r="N75" s="4"/>
      <c r="O75" s="4"/>
      <c r="P75" s="4"/>
      <c r="Q75" s="4"/>
      <c r="R75" s="4"/>
      <c r="S75" s="4"/>
      <c r="T75" s="4"/>
      <c r="U75" s="4"/>
      <c r="V75" s="4"/>
    </row>
    <row r="76" spans="1:24" ht="15.75" thickBot="1" x14ac:dyDescent="0.3">
      <c r="B76" s="4"/>
      <c r="C76" s="4"/>
      <c r="D76" s="4"/>
      <c r="E76" s="4"/>
      <c r="F76" s="4"/>
      <c r="G76" s="4"/>
      <c r="H76" s="4"/>
      <c r="I76" s="4"/>
      <c r="J76" s="4"/>
      <c r="K76" s="4"/>
      <c r="L76" s="4"/>
      <c r="M76" s="4"/>
      <c r="N76" s="4"/>
      <c r="O76" s="4"/>
      <c r="P76" s="4"/>
      <c r="Q76" s="4"/>
      <c r="R76" s="4"/>
      <c r="S76" s="4"/>
      <c r="T76" s="4"/>
      <c r="U76" s="4"/>
      <c r="V76" s="4"/>
    </row>
    <row r="77" spans="1:24" x14ac:dyDescent="0.25">
      <c r="B77" s="4"/>
      <c r="C77" s="11" t="s">
        <v>51</v>
      </c>
      <c r="D77" s="12" t="s">
        <v>26</v>
      </c>
      <c r="E77" s="13" t="s">
        <v>28</v>
      </c>
      <c r="F77" s="4"/>
      <c r="G77" s="4"/>
      <c r="H77" s="4"/>
      <c r="I77" s="4"/>
      <c r="J77" s="4"/>
      <c r="K77" s="4"/>
      <c r="L77" s="4"/>
      <c r="M77" s="4"/>
      <c r="N77" s="4"/>
      <c r="O77" s="4"/>
      <c r="P77" s="4"/>
      <c r="Q77" s="4"/>
      <c r="R77" s="4"/>
      <c r="S77" s="4"/>
      <c r="T77" s="4"/>
      <c r="U77" s="4"/>
      <c r="V77" s="4"/>
    </row>
    <row r="78" spans="1:24" x14ac:dyDescent="0.25">
      <c r="B78" s="4"/>
      <c r="C78" s="9" t="s">
        <v>2</v>
      </c>
      <c r="D78" s="9">
        <f>((D60-L23)/L23)*100</f>
        <v>1.4001191517334937</v>
      </c>
      <c r="E78" s="9">
        <f>D60-L23</f>
        <v>0.19601668124268912</v>
      </c>
      <c r="F78" s="4"/>
      <c r="G78" s="4"/>
      <c r="H78" s="4"/>
      <c r="I78" s="4"/>
      <c r="J78" s="4"/>
      <c r="K78" s="4"/>
      <c r="L78" s="4"/>
      <c r="M78" s="4"/>
      <c r="N78" s="4"/>
      <c r="O78" s="4"/>
      <c r="P78" s="4"/>
      <c r="Q78" s="4"/>
      <c r="R78" s="4"/>
      <c r="S78" s="4"/>
      <c r="T78" s="4"/>
      <c r="U78" s="4"/>
      <c r="V78" s="4"/>
    </row>
    <row r="79" spans="1:24" x14ac:dyDescent="0.25">
      <c r="B79" s="4"/>
      <c r="C79" s="9" t="s">
        <v>1</v>
      </c>
      <c r="D79" s="9">
        <f>((E60-L24)/L24)*100</f>
        <v>-2.9930611690076958</v>
      </c>
      <c r="E79" s="9">
        <f>E60-L24</f>
        <v>-0.30199987195287648</v>
      </c>
      <c r="F79" s="4"/>
      <c r="G79" s="4"/>
      <c r="H79" s="4"/>
      <c r="I79" s="4"/>
      <c r="J79" s="4"/>
      <c r="K79" s="4"/>
      <c r="L79" s="4"/>
      <c r="M79" s="4"/>
      <c r="N79" s="4"/>
      <c r="O79" s="4"/>
      <c r="P79" s="4"/>
      <c r="Q79" s="4"/>
      <c r="R79" s="4"/>
      <c r="S79" s="4"/>
      <c r="T79" s="4"/>
      <c r="U79" s="4"/>
      <c r="V79" s="4"/>
    </row>
    <row r="80" spans="1:24" x14ac:dyDescent="0.25">
      <c r="B80" s="4"/>
      <c r="C80" s="9" t="s">
        <v>11</v>
      </c>
      <c r="D80" s="9">
        <f>((F60-L25)/L25)*100</f>
        <v>-0.77149602980403076</v>
      </c>
      <c r="E80" s="9">
        <f>F60-L25</f>
        <v>-7.4063618861186953E-2</v>
      </c>
      <c r="F80" s="4"/>
      <c r="G80" s="4"/>
      <c r="H80" s="4"/>
      <c r="I80" s="4"/>
      <c r="J80" s="4"/>
      <c r="K80" s="4"/>
      <c r="L80" s="4"/>
      <c r="M80" s="4"/>
      <c r="N80" s="4"/>
      <c r="O80" s="4"/>
      <c r="P80" s="4"/>
      <c r="Q80" s="4"/>
      <c r="R80" s="4"/>
      <c r="S80" s="4"/>
      <c r="T80" s="4"/>
      <c r="U80" s="4"/>
      <c r="V80" s="4"/>
    </row>
    <row r="81" spans="2:22" x14ac:dyDescent="0.25">
      <c r="B81" s="4"/>
      <c r="C81" s="9" t="s">
        <v>13</v>
      </c>
      <c r="D81" s="9">
        <f>((G60-L26)/L26)*100</f>
        <v>2.044058775897275</v>
      </c>
      <c r="E81" s="9">
        <f>G60-L26</f>
        <v>0.25734699988546694</v>
      </c>
      <c r="F81" s="4"/>
      <c r="G81" s="4"/>
      <c r="H81" s="4"/>
      <c r="I81" s="4"/>
      <c r="J81" s="4"/>
      <c r="K81" s="4"/>
      <c r="L81" s="4"/>
      <c r="M81" s="4"/>
      <c r="N81" s="4"/>
      <c r="O81" s="4"/>
      <c r="P81" s="4"/>
      <c r="Q81" s="4"/>
      <c r="R81" s="4"/>
      <c r="S81" s="4"/>
      <c r="T81" s="4"/>
      <c r="U81" s="4"/>
      <c r="V81" s="4"/>
    </row>
    <row r="82" spans="2:22" x14ac:dyDescent="0.25">
      <c r="B82" s="4"/>
      <c r="C82" s="9" t="s">
        <v>10</v>
      </c>
      <c r="D82" s="15">
        <f>((H60-L27)/L27)*100</f>
        <v>7.9426482612599782</v>
      </c>
      <c r="E82" s="15">
        <f>H60-L27</f>
        <v>0.56643790340001665</v>
      </c>
      <c r="F82" s="4"/>
      <c r="G82" s="4"/>
      <c r="H82" s="4"/>
      <c r="I82" s="4"/>
      <c r="J82" s="4"/>
      <c r="K82" s="4"/>
      <c r="L82" s="4"/>
      <c r="M82" s="4"/>
      <c r="N82" s="4"/>
      <c r="O82" s="4"/>
      <c r="P82" s="4"/>
      <c r="Q82" s="4"/>
      <c r="R82" s="4"/>
      <c r="S82" s="4"/>
      <c r="T82" s="4"/>
      <c r="U82" s="4"/>
      <c r="V82" s="4"/>
    </row>
    <row r="83" spans="2:22" x14ac:dyDescent="0.25">
      <c r="B83" s="4"/>
      <c r="C83" s="9" t="s">
        <v>8</v>
      </c>
      <c r="D83" s="9">
        <f>((I60-L28)/L28)*100</f>
        <v>-6.6860545771055406</v>
      </c>
      <c r="E83" s="9">
        <f>I60-L28</f>
        <v>-1.4281412576697434</v>
      </c>
      <c r="F83" s="4"/>
      <c r="G83" s="4"/>
      <c r="H83" s="4"/>
      <c r="I83" s="4"/>
      <c r="J83" s="4"/>
      <c r="K83" s="4"/>
      <c r="L83" s="4"/>
      <c r="M83" s="4"/>
      <c r="N83" s="4"/>
      <c r="O83" s="4"/>
      <c r="P83" s="4"/>
      <c r="Q83" s="4"/>
      <c r="R83" s="4"/>
      <c r="S83" s="4"/>
      <c r="T83" s="4"/>
      <c r="U83" s="4"/>
      <c r="V83" s="4"/>
    </row>
    <row r="84" spans="2:22" x14ac:dyDescent="0.25">
      <c r="B84" s="4"/>
      <c r="C84" s="9" t="s">
        <v>12</v>
      </c>
      <c r="D84" s="9">
        <f>((J60-L29)/L29)*100</f>
        <v>-2.3541805114473746</v>
      </c>
      <c r="E84" s="9">
        <f>J60-L29</f>
        <v>-0.46524633608309429</v>
      </c>
      <c r="F84" s="4"/>
      <c r="G84" s="4"/>
      <c r="H84" s="4"/>
      <c r="I84" s="4"/>
      <c r="J84" s="4"/>
      <c r="K84" s="4"/>
      <c r="L84" s="4"/>
      <c r="M84" s="4"/>
      <c r="N84" s="4"/>
      <c r="O84" s="4"/>
      <c r="P84" s="4"/>
      <c r="Q84" s="4"/>
      <c r="R84" s="4"/>
      <c r="S84" s="4"/>
      <c r="T84" s="4"/>
      <c r="U84" s="4"/>
      <c r="V84" s="4"/>
    </row>
    <row r="85" spans="2:22" x14ac:dyDescent="0.25">
      <c r="B85" s="4"/>
      <c r="C85" s="16" t="s">
        <v>50</v>
      </c>
      <c r="D85" s="15"/>
      <c r="E85" s="15"/>
      <c r="F85" s="4"/>
      <c r="G85" s="4"/>
      <c r="H85" s="4"/>
      <c r="I85" s="4"/>
      <c r="J85" s="4"/>
      <c r="K85" s="4"/>
      <c r="L85" s="4"/>
      <c r="M85" s="4"/>
      <c r="N85" s="4"/>
      <c r="O85" s="4"/>
      <c r="P85" s="4"/>
      <c r="Q85" s="4"/>
      <c r="R85" s="4"/>
      <c r="S85" s="4"/>
      <c r="T85" s="4"/>
      <c r="U85" s="4"/>
      <c r="V85" s="4"/>
    </row>
    <row r="86" spans="2:22" x14ac:dyDescent="0.25">
      <c r="B86" s="4"/>
      <c r="C86" s="9" t="s">
        <v>19</v>
      </c>
      <c r="D86" s="9">
        <f>((L60-L30)/L30)*100</f>
        <v>-3.3748552665680847</v>
      </c>
      <c r="E86" s="9">
        <f>L60-L30</f>
        <v>-0.46168020046651392</v>
      </c>
      <c r="F86" s="4"/>
      <c r="G86" s="4"/>
      <c r="H86" s="4"/>
      <c r="I86" s="4"/>
      <c r="J86" s="4"/>
      <c r="K86" s="4"/>
      <c r="L86" s="4"/>
      <c r="M86" s="4"/>
      <c r="N86" s="4"/>
      <c r="O86" s="4"/>
      <c r="P86" s="4"/>
      <c r="Q86" s="4"/>
      <c r="R86" s="4"/>
      <c r="S86" s="4"/>
      <c r="T86" s="4"/>
      <c r="U86" s="4"/>
      <c r="V86" s="4"/>
    </row>
    <row r="87" spans="2:22" x14ac:dyDescent="0.25">
      <c r="B87" s="4"/>
      <c r="C87" s="9" t="s">
        <v>20</v>
      </c>
      <c r="D87" s="15">
        <f>((M60-L31)/L31)*100</f>
        <v>0.84718904227946945</v>
      </c>
      <c r="E87" s="15">
        <f>M60-L31</f>
        <v>8.3702277377211587E-2</v>
      </c>
      <c r="F87" s="4"/>
      <c r="G87" s="4"/>
      <c r="H87" s="4"/>
      <c r="I87" s="4"/>
      <c r="J87" s="4"/>
      <c r="K87" s="4"/>
      <c r="L87" s="4"/>
      <c r="M87" s="4"/>
      <c r="N87" s="4"/>
      <c r="O87" s="4"/>
      <c r="P87" s="4"/>
      <c r="Q87" s="4"/>
      <c r="R87" s="4"/>
      <c r="S87" s="4"/>
      <c r="T87" s="4"/>
      <c r="U87" s="4"/>
      <c r="V87" s="4"/>
    </row>
    <row r="88" spans="2:22" x14ac:dyDescent="0.25">
      <c r="B88" s="4"/>
      <c r="C88" s="9" t="s">
        <v>45</v>
      </c>
      <c r="D88" s="15">
        <f>((N60-L32)/L32)*100</f>
        <v>-7.4036516723229102</v>
      </c>
      <c r="E88" s="15">
        <f>N60-L32</f>
        <v>-1.0409349159994203</v>
      </c>
      <c r="F88" s="4"/>
      <c r="G88" s="4"/>
      <c r="H88" s="4"/>
      <c r="I88" s="4"/>
      <c r="J88" s="4"/>
      <c r="K88" s="4"/>
      <c r="L88" s="4"/>
      <c r="M88" s="4"/>
      <c r="N88" s="4"/>
      <c r="O88" s="4"/>
      <c r="P88" s="4"/>
      <c r="Q88" s="4"/>
      <c r="R88" s="4"/>
      <c r="S88" s="4"/>
      <c r="T88" s="4"/>
      <c r="U88" s="4"/>
      <c r="V88" s="4"/>
    </row>
    <row r="89" spans="2:22" x14ac:dyDescent="0.25">
      <c r="B89" s="4"/>
      <c r="C89" s="9" t="s">
        <v>29</v>
      </c>
      <c r="D89" s="15">
        <f>((O60-L33)/L33)*100</f>
        <v>5.4698908775946036</v>
      </c>
      <c r="E89" s="15">
        <f>O60-L33</f>
        <v>0.66349776345222544</v>
      </c>
      <c r="F89" s="4"/>
      <c r="G89" s="4"/>
      <c r="H89" s="4"/>
      <c r="I89" s="4"/>
      <c r="J89" s="4"/>
      <c r="K89" s="4"/>
      <c r="L89" s="4"/>
      <c r="M89" s="4"/>
      <c r="N89" s="4"/>
      <c r="O89" s="4"/>
      <c r="P89" s="4"/>
      <c r="Q89" s="4"/>
      <c r="R89" s="4"/>
      <c r="S89" s="4"/>
      <c r="T89" s="4"/>
      <c r="U89" s="4"/>
      <c r="V89" s="4"/>
    </row>
    <row r="90" spans="2:22" x14ac:dyDescent="0.25">
      <c r="B90" s="4"/>
      <c r="C90" s="9" t="s">
        <v>31</v>
      </c>
      <c r="D90" s="9">
        <f>((P60-L34)/L34)*100</f>
        <v>1.6597535082018986</v>
      </c>
      <c r="E90" s="9">
        <f>P60-L34</f>
        <v>0.175191962051235</v>
      </c>
      <c r="F90" s="4"/>
      <c r="G90" s="4"/>
      <c r="H90" s="4"/>
      <c r="I90" s="4"/>
      <c r="J90" s="4"/>
      <c r="K90" s="4"/>
      <c r="L90" s="4"/>
      <c r="M90" s="4"/>
      <c r="N90" s="4"/>
      <c r="O90" s="4"/>
      <c r="P90" s="4"/>
      <c r="Q90" s="4"/>
      <c r="R90" s="4"/>
      <c r="S90" s="4"/>
      <c r="T90" s="4"/>
      <c r="U90" s="4"/>
      <c r="V90" s="4"/>
    </row>
    <row r="91" spans="2:22" x14ac:dyDescent="0.25">
      <c r="B91" s="4"/>
      <c r="C91" s="9" t="s">
        <v>32</v>
      </c>
      <c r="D91" s="9">
        <f>((Q60-L35)/L35)*100</f>
        <v>6.2642599277727795</v>
      </c>
      <c r="E91" s="9">
        <f>Q60-L35</f>
        <v>1.3748296548681473</v>
      </c>
      <c r="F91" s="4"/>
      <c r="G91" s="4"/>
      <c r="H91" s="4"/>
      <c r="I91" s="4"/>
      <c r="J91" s="4"/>
      <c r="K91" s="4"/>
      <c r="L91" s="4"/>
      <c r="M91" s="4"/>
      <c r="N91" s="4"/>
      <c r="O91" s="4"/>
      <c r="P91" s="4"/>
      <c r="Q91" s="4"/>
      <c r="R91" s="4"/>
      <c r="S91" s="4"/>
      <c r="T91" s="4"/>
      <c r="U91" s="4"/>
      <c r="V91" s="4"/>
    </row>
    <row r="92" spans="2:22" x14ac:dyDescent="0.25">
      <c r="B92" s="4"/>
      <c r="C92" s="9" t="s">
        <v>35</v>
      </c>
      <c r="D92" s="9">
        <f>((R60-L36)/L36)*100</f>
        <v>0.20170412066203347</v>
      </c>
      <c r="E92" s="9">
        <f>R60-L36</f>
        <v>2.3370851348747834E-2</v>
      </c>
      <c r="F92" s="4"/>
      <c r="G92" s="4"/>
      <c r="H92" s="4"/>
      <c r="I92" s="4"/>
      <c r="J92" s="4"/>
      <c r="K92" s="4"/>
      <c r="L92" s="4"/>
      <c r="M92" s="4"/>
      <c r="N92" s="4"/>
      <c r="O92" s="4"/>
      <c r="P92" s="4"/>
      <c r="Q92" s="4"/>
      <c r="R92" s="4"/>
      <c r="S92" s="4"/>
      <c r="T92" s="4"/>
      <c r="U92" s="4"/>
      <c r="V92" s="4"/>
    </row>
    <row r="93" spans="2:22" x14ac:dyDescent="0.25">
      <c r="B93" s="4"/>
      <c r="C93" s="4"/>
      <c r="D93" s="4"/>
      <c r="E93" s="4"/>
      <c r="F93" s="4"/>
      <c r="G93" s="4"/>
      <c r="H93" s="4"/>
      <c r="I93" s="4"/>
      <c r="J93" s="4"/>
      <c r="K93" s="4"/>
      <c r="L93" s="4"/>
      <c r="M93" s="4"/>
      <c r="N93" s="4"/>
      <c r="O93" s="4"/>
      <c r="P93" s="4"/>
      <c r="Q93" s="4"/>
      <c r="R93" s="4"/>
      <c r="S93" s="4"/>
      <c r="T93" s="4"/>
      <c r="U93" s="4"/>
      <c r="V93" s="4"/>
    </row>
  </sheetData>
  <mergeCells count="7">
    <mergeCell ref="A56:R56"/>
    <mergeCell ref="Q15:R15"/>
    <mergeCell ref="B39:C39"/>
    <mergeCell ref="B2:H2"/>
    <mergeCell ref="B20:H20"/>
    <mergeCell ref="J20:L20"/>
    <mergeCell ref="J39:P39"/>
  </mergeCells>
  <conditionalFormatting sqref="C23:H35 G36:G37 C36:F36 H36">
    <cfRule type="cellIs" dxfId="1" priority="7" operator="lessThan">
      <formula>0</formula>
    </cfRule>
    <cfRule type="cellIs" dxfId="0" priority="8" operator="greaterThan">
      <formula>0</formula>
    </cfRule>
  </conditionalFormatting>
  <conditionalFormatting sqref="J23:J29">
    <cfRule type="colorScale" priority="9">
      <colorScale>
        <cfvo type="min"/>
        <cfvo type="percentile" val="50"/>
        <cfvo type="max"/>
        <color rgb="FFF8696B"/>
        <color rgb="FFFCFCFF"/>
        <color rgb="FF63BE7B"/>
      </colorScale>
    </cfRule>
  </conditionalFormatting>
  <conditionalFormatting sqref="K23:K29">
    <cfRule type="colorScale" priority="10">
      <colorScale>
        <cfvo type="min"/>
        <cfvo type="percentile" val="50"/>
        <cfvo type="max"/>
        <color rgb="FFF8696B"/>
        <color rgb="FFFCFCFF"/>
        <color rgb="FF63BE7B"/>
      </colorScale>
    </cfRule>
  </conditionalFormatting>
  <conditionalFormatting sqref="L23:L29">
    <cfRule type="colorScale" priority="11">
      <colorScale>
        <cfvo type="min"/>
        <cfvo type="percentile" val="50"/>
        <cfvo type="max"/>
        <color rgb="FFF8696B"/>
        <color rgb="FFFCFCFF"/>
        <color rgb="FF63BE7B"/>
      </colorScale>
    </cfRule>
  </conditionalFormatting>
  <conditionalFormatting sqref="C23:C36">
    <cfRule type="colorScale" priority="6">
      <colorScale>
        <cfvo type="min"/>
        <cfvo type="percentile" val="50"/>
        <cfvo type="max"/>
        <color rgb="FFF8696B"/>
        <color rgb="FFFCFCFF"/>
        <color rgb="FF63BE7B"/>
      </colorScale>
    </cfRule>
  </conditionalFormatting>
  <conditionalFormatting sqref="D23:D36">
    <cfRule type="colorScale" priority="5">
      <colorScale>
        <cfvo type="min"/>
        <cfvo type="percentile" val="50"/>
        <cfvo type="max"/>
        <color rgb="FFF8696B"/>
        <color rgb="FFFCFCFF"/>
        <color rgb="FF63BE7B"/>
      </colorScale>
    </cfRule>
  </conditionalFormatting>
  <conditionalFormatting sqref="E23:E36">
    <cfRule type="colorScale" priority="4">
      <colorScale>
        <cfvo type="min"/>
        <cfvo type="percentile" val="50"/>
        <cfvo type="max"/>
        <color rgb="FFF8696B"/>
        <color rgb="FFFCFCFF"/>
        <color rgb="FF63BE7B"/>
      </colorScale>
    </cfRule>
  </conditionalFormatting>
  <conditionalFormatting sqref="F23:F36">
    <cfRule type="colorScale" priority="3">
      <colorScale>
        <cfvo type="min"/>
        <cfvo type="percentile" val="50"/>
        <cfvo type="max"/>
        <color rgb="FFF8696B"/>
        <color rgb="FFFCFCFF"/>
        <color rgb="FF63BE7B"/>
      </colorScale>
    </cfRule>
  </conditionalFormatting>
  <conditionalFormatting sqref="G23:G37">
    <cfRule type="colorScale" priority="2">
      <colorScale>
        <cfvo type="min"/>
        <cfvo type="percentile" val="50"/>
        <cfvo type="max"/>
        <color rgb="FFF8696B"/>
        <color rgb="FFFCFCFF"/>
        <color rgb="FF63BE7B"/>
      </colorScale>
    </cfRule>
  </conditionalFormatting>
  <conditionalFormatting sqref="H23:H36">
    <cfRule type="colorScale" priority="1">
      <colorScale>
        <cfvo type="min"/>
        <cfvo type="percentile" val="50"/>
        <cfvo type="max"/>
        <color rgb="FFF8696B"/>
        <color rgb="FFFCFCFF"/>
        <color rgb="FF63BE7B"/>
      </colorScale>
    </cfRule>
  </conditionalFormatting>
  <conditionalFormatting sqref="J23:J36">
    <cfRule type="colorScale" priority="12">
      <colorScale>
        <cfvo type="min"/>
        <cfvo type="percentile" val="50"/>
        <cfvo type="max"/>
        <color rgb="FFF8696B"/>
        <color rgb="FFFCFCFF"/>
        <color rgb="FF63BE7B"/>
      </colorScale>
    </cfRule>
  </conditionalFormatting>
  <conditionalFormatting sqref="K23:K36">
    <cfRule type="colorScale" priority="13">
      <colorScale>
        <cfvo type="min"/>
        <cfvo type="percentile" val="50"/>
        <cfvo type="max"/>
        <color rgb="FFF8696B"/>
        <color rgb="FFFCFCFF"/>
        <color rgb="FF63BE7B"/>
      </colorScale>
    </cfRule>
  </conditionalFormatting>
  <conditionalFormatting sqref="L23:L36">
    <cfRule type="colorScale" priority="14">
      <colorScale>
        <cfvo type="min"/>
        <cfvo type="percentile" val="50"/>
        <cfvo type="max"/>
        <color rgb="FFF8696B"/>
        <color rgb="FFFCFCFF"/>
        <color rgb="FF63BE7B"/>
      </colorScale>
    </cfRule>
  </conditionalFormatting>
  <conditionalFormatting sqref="J41:J55">
    <cfRule type="colorScale" priority="15">
      <colorScale>
        <cfvo type="min"/>
        <cfvo type="percentile" val="50"/>
        <cfvo type="max"/>
        <color rgb="FFF8696B"/>
        <color rgb="FFFCFCFF"/>
        <color rgb="FF63BE7B"/>
      </colorScale>
    </cfRule>
  </conditionalFormatting>
  <conditionalFormatting sqref="K41:K55">
    <cfRule type="colorScale" priority="16">
      <colorScale>
        <cfvo type="min"/>
        <cfvo type="percentile" val="50"/>
        <cfvo type="max"/>
        <color rgb="FFF8696B"/>
        <color rgb="FFFCFCFF"/>
        <color rgb="FF63BE7B"/>
      </colorScale>
    </cfRule>
  </conditionalFormatting>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48F32-ACD8-4480-81D5-DEA394901505}">
  <dimension ref="B1:H81"/>
  <sheetViews>
    <sheetView tabSelected="1" zoomScale="96" zoomScaleNormal="100" workbookViewId="0">
      <selection activeCell="L21" sqref="L21"/>
    </sheetView>
  </sheetViews>
  <sheetFormatPr defaultRowHeight="15" x14ac:dyDescent="0.25"/>
  <cols>
    <col min="2" max="2" width="9.7109375" customWidth="1"/>
  </cols>
  <sheetData>
    <row r="1" spans="2:8" x14ac:dyDescent="0.25">
      <c r="B1" t="s">
        <v>44</v>
      </c>
    </row>
    <row r="3" spans="2:8" x14ac:dyDescent="0.25">
      <c r="B3" t="s">
        <v>39</v>
      </c>
    </row>
    <row r="4" spans="2:8" x14ac:dyDescent="0.25">
      <c r="B4" t="s">
        <v>14</v>
      </c>
      <c r="C4" t="s">
        <v>15</v>
      </c>
      <c r="D4" t="s">
        <v>16</v>
      </c>
      <c r="E4" t="s">
        <v>17</v>
      </c>
      <c r="F4" s="4" t="s">
        <v>40</v>
      </c>
      <c r="G4" s="4" t="s">
        <v>41</v>
      </c>
      <c r="H4" s="4" t="s">
        <v>42</v>
      </c>
    </row>
    <row r="5" spans="2:8" x14ac:dyDescent="0.25">
      <c r="B5">
        <v>2020</v>
      </c>
      <c r="C5" s="6">
        <v>4634</v>
      </c>
      <c r="D5">
        <f>20+101+5+1</f>
        <v>127</v>
      </c>
      <c r="E5">
        <f>30+45+7+2</f>
        <v>84</v>
      </c>
      <c r="F5" s="4">
        <f>D5/C5*100</f>
        <v>2.740612861458783</v>
      </c>
      <c r="G5" s="4">
        <f>E5/C5*100</f>
        <v>1.8126888217522661</v>
      </c>
      <c r="H5" s="4">
        <f>G5+F5</f>
        <v>4.5533016832110489</v>
      </c>
    </row>
    <row r="6" spans="2:8" x14ac:dyDescent="0.25">
      <c r="B6">
        <v>2021</v>
      </c>
      <c r="C6" s="6">
        <v>4612</v>
      </c>
      <c r="D6">
        <f>57+164+5+1</f>
        <v>227</v>
      </c>
      <c r="E6">
        <f>32+82+6+6+1+3+2</f>
        <v>132</v>
      </c>
      <c r="F6" s="4">
        <f t="shared" ref="F6:F7" si="0">D6/C6*100</f>
        <v>4.9219427580225492</v>
      </c>
      <c r="G6" s="4">
        <f t="shared" ref="G6:G7" si="1">E6/C6*100</f>
        <v>2.8620988725065044</v>
      </c>
      <c r="H6" s="4">
        <f t="shared" ref="H6:H7" si="2">G6+F6</f>
        <v>7.7840416305290532</v>
      </c>
    </row>
    <row r="7" spans="2:8" x14ac:dyDescent="0.25">
      <c r="B7">
        <v>2022</v>
      </c>
      <c r="C7" s="6">
        <v>4322</v>
      </c>
      <c r="D7">
        <f>102+183+13</f>
        <v>298</v>
      </c>
      <c r="E7">
        <f>21+82+2+5+6+1</f>
        <v>117</v>
      </c>
      <c r="F7" s="4">
        <f t="shared" si="0"/>
        <v>6.8949560388708937</v>
      </c>
      <c r="G7" s="4">
        <f t="shared" si="1"/>
        <v>2.7070800555298473</v>
      </c>
      <c r="H7" s="4">
        <f t="shared" si="2"/>
        <v>9.6020360944007415</v>
      </c>
    </row>
    <row r="8" spans="2:8" x14ac:dyDescent="0.25">
      <c r="F8" s="4"/>
      <c r="G8" s="4"/>
      <c r="H8" s="4"/>
    </row>
    <row r="9" spans="2:8" x14ac:dyDescent="0.25">
      <c r="B9" t="s">
        <v>13</v>
      </c>
      <c r="F9" s="4"/>
      <c r="G9" s="4"/>
      <c r="H9" s="4"/>
    </row>
    <row r="10" spans="2:8" x14ac:dyDescent="0.25">
      <c r="B10" t="s">
        <v>14</v>
      </c>
      <c r="C10" t="s">
        <v>15</v>
      </c>
      <c r="D10" t="s">
        <v>16</v>
      </c>
      <c r="E10" t="s">
        <v>17</v>
      </c>
      <c r="F10" s="4" t="s">
        <v>40</v>
      </c>
      <c r="G10" s="4" t="s">
        <v>41</v>
      </c>
      <c r="H10" s="4" t="s">
        <v>42</v>
      </c>
    </row>
    <row r="11" spans="2:8" x14ac:dyDescent="0.25">
      <c r="B11">
        <v>2020</v>
      </c>
      <c r="C11" s="6">
        <v>5088</v>
      </c>
      <c r="D11">
        <f>39+185+2+1</f>
        <v>227</v>
      </c>
      <c r="E11">
        <f>8+62+4+11+2+2+1+1</f>
        <v>91</v>
      </c>
      <c r="F11" s="4">
        <f>D11/C11*100</f>
        <v>4.4614779874213832</v>
      </c>
      <c r="G11" s="4">
        <f>E11/C11*100</f>
        <v>1.7885220125786163</v>
      </c>
      <c r="H11" s="4">
        <f>G11+F11</f>
        <v>6.25</v>
      </c>
    </row>
    <row r="12" spans="2:8" x14ac:dyDescent="0.25">
      <c r="B12">
        <v>2021</v>
      </c>
      <c r="C12" s="6">
        <v>5026</v>
      </c>
      <c r="D12">
        <f>81+246+7+2</f>
        <v>336</v>
      </c>
      <c r="E12">
        <f>37+112+4+28+2+8+1</f>
        <v>192</v>
      </c>
      <c r="F12" s="4">
        <f t="shared" ref="F12:F13" si="3">D12/C12*100</f>
        <v>6.6852367688022287</v>
      </c>
      <c r="G12" s="4">
        <f t="shared" ref="G12:G13" si="4">E12/C12*100</f>
        <v>3.8201352964584165</v>
      </c>
      <c r="H12" s="4">
        <f t="shared" ref="H12:H13" si="5">G12+F12</f>
        <v>10.505372065260644</v>
      </c>
    </row>
    <row r="13" spans="2:8" x14ac:dyDescent="0.25">
      <c r="B13">
        <v>2022</v>
      </c>
      <c r="C13" s="6">
        <v>4996</v>
      </c>
      <c r="D13">
        <v>419</v>
      </c>
      <c r="E13">
        <f>37+102+1+18+4+2+46</f>
        <v>210</v>
      </c>
      <c r="F13" s="4">
        <f t="shared" si="3"/>
        <v>8.3867093674939959</v>
      </c>
      <c r="G13" s="4">
        <f t="shared" si="4"/>
        <v>4.2033626901521215</v>
      </c>
      <c r="H13" s="4">
        <f t="shared" si="5"/>
        <v>12.590072057646118</v>
      </c>
    </row>
    <row r="14" spans="2:8" x14ac:dyDescent="0.25">
      <c r="F14" s="4"/>
      <c r="G14" s="4"/>
      <c r="H14" s="4"/>
    </row>
    <row r="15" spans="2:8" x14ac:dyDescent="0.25">
      <c r="B15" t="s">
        <v>18</v>
      </c>
      <c r="F15" s="4"/>
      <c r="G15" s="4"/>
      <c r="H15" s="4"/>
    </row>
    <row r="16" spans="2:8" x14ac:dyDescent="0.25">
      <c r="B16" t="s">
        <v>14</v>
      </c>
      <c r="C16" t="s">
        <v>15</v>
      </c>
      <c r="D16" t="s">
        <v>16</v>
      </c>
      <c r="E16" t="s">
        <v>17</v>
      </c>
      <c r="F16" s="4" t="s">
        <v>40</v>
      </c>
      <c r="G16" s="4" t="s">
        <v>41</v>
      </c>
      <c r="H16" s="4" t="s">
        <v>42</v>
      </c>
    </row>
    <row r="17" spans="2:8" x14ac:dyDescent="0.25">
      <c r="B17">
        <v>2020</v>
      </c>
      <c r="C17" s="6">
        <v>3696</v>
      </c>
      <c r="D17">
        <f>10+48+6</f>
        <v>64</v>
      </c>
      <c r="E17">
        <f>2+19+1+3+1+1+1</f>
        <v>28</v>
      </c>
      <c r="F17" s="4">
        <f>D17/C17*100</f>
        <v>1.7316017316017316</v>
      </c>
      <c r="G17" s="4">
        <f>E17/C17*100</f>
        <v>0.75757575757575757</v>
      </c>
      <c r="H17" s="4">
        <f>G17+F17</f>
        <v>2.4891774891774894</v>
      </c>
    </row>
    <row r="18" spans="2:8" x14ac:dyDescent="0.25">
      <c r="B18">
        <v>2021</v>
      </c>
      <c r="C18" s="6">
        <v>3977</v>
      </c>
      <c r="D18">
        <f>37+121+12+1</f>
        <v>171</v>
      </c>
      <c r="E18">
        <f>17+36+4+2+1</f>
        <v>60</v>
      </c>
      <c r="F18" s="4">
        <f t="shared" ref="F18:F19" si="6">D18/C18*100</f>
        <v>4.2997234096052299</v>
      </c>
      <c r="G18" s="4">
        <f t="shared" ref="G18:G19" si="7">E18/C18*100</f>
        <v>1.5086748805632386</v>
      </c>
      <c r="H18" s="4">
        <f t="shared" ref="H18:H19" si="8">G18+F18</f>
        <v>5.8083982901684683</v>
      </c>
    </row>
    <row r="19" spans="2:8" x14ac:dyDescent="0.25">
      <c r="B19">
        <v>2022</v>
      </c>
      <c r="C19" s="6">
        <v>4010</v>
      </c>
      <c r="D19">
        <f>75+137+2+1</f>
        <v>215</v>
      </c>
      <c r="E19">
        <f>14+49+3+5</f>
        <v>71</v>
      </c>
      <c r="F19" s="4">
        <f t="shared" si="6"/>
        <v>5.3615960099750621</v>
      </c>
      <c r="G19" s="4">
        <f t="shared" si="7"/>
        <v>1.7705735660847881</v>
      </c>
      <c r="H19" s="4">
        <f t="shared" si="8"/>
        <v>7.1321695760598498</v>
      </c>
    </row>
    <row r="20" spans="2:8" x14ac:dyDescent="0.25">
      <c r="F20" s="4"/>
      <c r="G20" s="4"/>
      <c r="H20" s="4"/>
    </row>
    <row r="21" spans="2:8" x14ac:dyDescent="0.25">
      <c r="B21" t="s">
        <v>8</v>
      </c>
      <c r="F21" s="4"/>
      <c r="G21" s="4"/>
      <c r="H21" s="4"/>
    </row>
    <row r="22" spans="2:8" x14ac:dyDescent="0.25">
      <c r="B22" t="s">
        <v>14</v>
      </c>
      <c r="C22" t="s">
        <v>15</v>
      </c>
      <c r="D22" t="s">
        <v>16</v>
      </c>
      <c r="E22" t="s">
        <v>17</v>
      </c>
      <c r="F22" s="4" t="s">
        <v>40</v>
      </c>
      <c r="G22" s="4" t="s">
        <v>41</v>
      </c>
      <c r="H22" s="4" t="s">
        <v>42</v>
      </c>
    </row>
    <row r="23" spans="2:8" x14ac:dyDescent="0.25">
      <c r="B23">
        <v>2020</v>
      </c>
      <c r="C23" s="6">
        <v>14866</v>
      </c>
      <c r="D23">
        <f>168+807+15+2</f>
        <v>992</v>
      </c>
      <c r="E23">
        <f>85+360+2+84+1+30+7+4+1</f>
        <v>574</v>
      </c>
      <c r="F23" s="4">
        <f>D23/C23*100</f>
        <v>6.6729449751109922</v>
      </c>
      <c r="G23" s="4">
        <f>E23/C23*100</f>
        <v>3.8611596932597871</v>
      </c>
      <c r="H23" s="4">
        <f>G23+F23</f>
        <v>10.53410466837078</v>
      </c>
    </row>
    <row r="24" spans="2:8" x14ac:dyDescent="0.25">
      <c r="B24">
        <v>2021</v>
      </c>
      <c r="C24" s="6">
        <v>14407</v>
      </c>
      <c r="D24">
        <f>328+1207+49+8</f>
        <v>1592</v>
      </c>
      <c r="E24">
        <f>112+605+8+115+9+18+1+4+4+1</f>
        <v>877</v>
      </c>
      <c r="F24" s="4">
        <f t="shared" ref="F24:F25" si="9">D24/C24*100</f>
        <v>11.050183938363295</v>
      </c>
      <c r="G24" s="4">
        <f t="shared" ref="G24:G25" si="10">E24/C24*100</f>
        <v>6.0873186645380715</v>
      </c>
      <c r="H24" s="4">
        <f t="shared" ref="H24:H25" si="11">G24+F24</f>
        <v>17.137502602901368</v>
      </c>
    </row>
    <row r="25" spans="2:8" x14ac:dyDescent="0.25">
      <c r="B25">
        <v>2022</v>
      </c>
      <c r="C25" s="6">
        <v>13815</v>
      </c>
      <c r="D25">
        <f>495+1567+77+3+1</f>
        <v>2143</v>
      </c>
      <c r="E25">
        <f>95+622+4+58+24+4+1</f>
        <v>808</v>
      </c>
      <c r="F25" s="4">
        <f t="shared" si="9"/>
        <v>15.512124502352515</v>
      </c>
      <c r="G25" s="4">
        <f t="shared" si="10"/>
        <v>5.8487151646760767</v>
      </c>
      <c r="H25" s="4">
        <f t="shared" si="11"/>
        <v>21.360839667028593</v>
      </c>
    </row>
    <row r="26" spans="2:8" x14ac:dyDescent="0.25">
      <c r="F26" s="4"/>
      <c r="G26" s="4"/>
      <c r="H26" s="4"/>
    </row>
    <row r="27" spans="2:8" x14ac:dyDescent="0.25">
      <c r="B27" t="s">
        <v>12</v>
      </c>
      <c r="F27" s="4"/>
      <c r="G27" s="4"/>
      <c r="H27" s="4"/>
    </row>
    <row r="28" spans="2:8" x14ac:dyDescent="0.25">
      <c r="B28" t="s">
        <v>14</v>
      </c>
      <c r="C28" t="s">
        <v>15</v>
      </c>
      <c r="D28" t="s">
        <v>16</v>
      </c>
      <c r="E28" t="s">
        <v>17</v>
      </c>
      <c r="F28" s="4" t="s">
        <v>40</v>
      </c>
      <c r="G28" s="4" t="s">
        <v>41</v>
      </c>
      <c r="H28" s="4" t="s">
        <v>42</v>
      </c>
    </row>
    <row r="29" spans="2:8" x14ac:dyDescent="0.25">
      <c r="B29">
        <v>2020</v>
      </c>
      <c r="C29" s="6">
        <v>2636</v>
      </c>
      <c r="D29">
        <f>27+131</f>
        <v>158</v>
      </c>
      <c r="E29">
        <f>6+49+10+10+2+1</f>
        <v>78</v>
      </c>
      <c r="F29" s="4">
        <f>D29/C29*100</f>
        <v>5.9939301972685888</v>
      </c>
      <c r="G29" s="4">
        <f>E29/C29*100</f>
        <v>2.959028831562974</v>
      </c>
      <c r="H29" s="4">
        <f>G29+F29</f>
        <v>8.9529590288315628</v>
      </c>
    </row>
    <row r="30" spans="2:8" x14ac:dyDescent="0.25">
      <c r="B30">
        <v>2021</v>
      </c>
      <c r="C30" s="6">
        <v>2622</v>
      </c>
      <c r="D30">
        <f>51+238+4+1</f>
        <v>294</v>
      </c>
      <c r="E30">
        <f>25+105+1+2+6+2</f>
        <v>141</v>
      </c>
      <c r="F30" s="4">
        <f t="shared" ref="F30:F31" si="12">D30/C30*100</f>
        <v>11.212814645308924</v>
      </c>
      <c r="G30" s="4">
        <f t="shared" ref="G30:G31" si="13">E30/C30*100</f>
        <v>5.3775743707093824</v>
      </c>
      <c r="H30" s="4">
        <f t="shared" ref="H30:H31" si="14">G30+F30</f>
        <v>16.590389016018307</v>
      </c>
    </row>
    <row r="31" spans="2:8" x14ac:dyDescent="0.25">
      <c r="B31">
        <v>2022</v>
      </c>
      <c r="C31" s="6">
        <v>2358</v>
      </c>
      <c r="D31">
        <f>54+209+72</f>
        <v>335</v>
      </c>
      <c r="E31">
        <f>20+83+10+10+8</f>
        <v>131</v>
      </c>
      <c r="F31" s="4">
        <f t="shared" si="12"/>
        <v>14.206955046649702</v>
      </c>
      <c r="G31" s="4">
        <f t="shared" si="13"/>
        <v>5.5555555555555554</v>
      </c>
      <c r="H31" s="4">
        <f t="shared" si="14"/>
        <v>19.762510602205257</v>
      </c>
    </row>
    <row r="32" spans="2:8" x14ac:dyDescent="0.25">
      <c r="C32" s="6"/>
      <c r="F32" s="4"/>
      <c r="G32" s="4"/>
      <c r="H32" s="4"/>
    </row>
    <row r="33" spans="2:8" x14ac:dyDescent="0.25">
      <c r="F33" s="4"/>
      <c r="G33" s="4"/>
      <c r="H33" s="4"/>
    </row>
    <row r="34" spans="2:8" x14ac:dyDescent="0.25">
      <c r="B34" t="s">
        <v>19</v>
      </c>
      <c r="F34" s="4"/>
      <c r="G34" s="4"/>
      <c r="H34" s="4"/>
    </row>
    <row r="35" spans="2:8" x14ac:dyDescent="0.25">
      <c r="B35" t="s">
        <v>14</v>
      </c>
      <c r="C35" t="s">
        <v>15</v>
      </c>
      <c r="D35" t="s">
        <v>16</v>
      </c>
      <c r="E35" t="s">
        <v>17</v>
      </c>
      <c r="F35" s="4" t="s">
        <v>40</v>
      </c>
      <c r="G35" s="4" t="s">
        <v>41</v>
      </c>
      <c r="H35" s="4" t="s">
        <v>42</v>
      </c>
    </row>
    <row r="36" spans="2:8" x14ac:dyDescent="0.25">
      <c r="B36">
        <v>2020</v>
      </c>
      <c r="C36" s="6">
        <v>3522</v>
      </c>
      <c r="D36">
        <f>50+119+25</f>
        <v>194</v>
      </c>
      <c r="E36">
        <f>20+39+2+5+1+1+1</f>
        <v>69</v>
      </c>
      <c r="F36" s="4">
        <f>D36/C36*100</f>
        <v>5.5082339579784216</v>
      </c>
      <c r="G36" s="4">
        <f>E36/C36*100</f>
        <v>1.9591141396933562</v>
      </c>
      <c r="H36" s="4">
        <f>G36+F36</f>
        <v>7.4673480976717777</v>
      </c>
    </row>
    <row r="37" spans="2:8" x14ac:dyDescent="0.25">
      <c r="B37">
        <v>2021</v>
      </c>
      <c r="C37" s="6">
        <v>3408</v>
      </c>
      <c r="D37">
        <f>81+149+38+1</f>
        <v>269</v>
      </c>
      <c r="E37">
        <f>1+53+53+5+5+4+1+1</f>
        <v>123</v>
      </c>
      <c r="F37" s="4">
        <f t="shared" ref="F37:F38" si="15">D37/C37*100</f>
        <v>7.893192488262911</v>
      </c>
      <c r="G37" s="4">
        <f t="shared" ref="G37:G38" si="16">E37/C37*100</f>
        <v>3.609154929577465</v>
      </c>
      <c r="H37" s="4">
        <f t="shared" ref="H37:H38" si="17">G37+F37</f>
        <v>11.502347417840376</v>
      </c>
    </row>
    <row r="38" spans="2:8" x14ac:dyDescent="0.25">
      <c r="B38">
        <v>2022</v>
      </c>
      <c r="C38" s="6">
        <v>3238</v>
      </c>
      <c r="D38">
        <v>346</v>
      </c>
      <c r="E38">
        <f>1+41+44+4+6+1</f>
        <v>97</v>
      </c>
      <c r="F38" s="4">
        <f t="shared" si="15"/>
        <v>10.685608400247066</v>
      </c>
      <c r="G38" s="4">
        <f t="shared" si="16"/>
        <v>2.9956763434218656</v>
      </c>
      <c r="H38" s="4">
        <f t="shared" si="17"/>
        <v>13.681284743668932</v>
      </c>
    </row>
    <row r="39" spans="2:8" x14ac:dyDescent="0.25">
      <c r="F39" s="4"/>
      <c r="G39" s="4"/>
      <c r="H39" s="4"/>
    </row>
    <row r="40" spans="2:8" x14ac:dyDescent="0.25">
      <c r="B40" t="s">
        <v>20</v>
      </c>
      <c r="F40" s="4"/>
      <c r="G40" s="4"/>
      <c r="H40" s="4"/>
    </row>
    <row r="41" spans="2:8" x14ac:dyDescent="0.25">
      <c r="B41" t="s">
        <v>14</v>
      </c>
      <c r="C41" t="s">
        <v>15</v>
      </c>
      <c r="D41" t="s">
        <v>16</v>
      </c>
      <c r="E41" t="s">
        <v>17</v>
      </c>
      <c r="F41" s="4" t="s">
        <v>40</v>
      </c>
      <c r="G41" s="4" t="s">
        <v>41</v>
      </c>
      <c r="H41" s="4" t="s">
        <v>42</v>
      </c>
    </row>
    <row r="42" spans="2:8" x14ac:dyDescent="0.25">
      <c r="B42">
        <v>2020</v>
      </c>
      <c r="C42" s="6">
        <v>2436</v>
      </c>
      <c r="D42">
        <f>14+43+4</f>
        <v>61</v>
      </c>
      <c r="E42">
        <f>9+22+2+4+2+1</f>
        <v>40</v>
      </c>
      <c r="F42" s="4">
        <f>D42/C42*100</f>
        <v>2.5041050903119868</v>
      </c>
      <c r="G42" s="4">
        <f>E42/C42*100</f>
        <v>1.6420361247947455</v>
      </c>
      <c r="H42" s="4">
        <f>G42+F42</f>
        <v>4.1461412151067325</v>
      </c>
    </row>
    <row r="43" spans="2:8" x14ac:dyDescent="0.25">
      <c r="B43">
        <v>2021</v>
      </c>
      <c r="C43" s="6">
        <v>2361</v>
      </c>
      <c r="D43">
        <f>42+91+5</f>
        <v>138</v>
      </c>
      <c r="E43">
        <f>23+46+1+2+1+1</f>
        <v>74</v>
      </c>
      <c r="F43" s="4">
        <f t="shared" ref="F43:F44" si="18">D43/C43*100</f>
        <v>5.8449809402795427</v>
      </c>
      <c r="G43" s="4">
        <f t="shared" ref="G43:G44" si="19">E43/C43*100</f>
        <v>3.1342651418890304</v>
      </c>
      <c r="H43" s="4">
        <f t="shared" ref="H43:H44" si="20">G43+F43</f>
        <v>8.9792460821685722</v>
      </c>
    </row>
    <row r="44" spans="2:8" x14ac:dyDescent="0.25">
      <c r="B44">
        <v>2022</v>
      </c>
      <c r="C44" s="6">
        <v>2612</v>
      </c>
      <c r="D44">
        <f>82+108+5</f>
        <v>195</v>
      </c>
      <c r="E44">
        <v>63</v>
      </c>
      <c r="F44" s="4">
        <f t="shared" si="18"/>
        <v>7.4655436447166919</v>
      </c>
      <c r="G44" s="4">
        <f t="shared" si="19"/>
        <v>2.4119448698315464</v>
      </c>
      <c r="H44" s="4">
        <f t="shared" si="20"/>
        <v>9.8774885145482383</v>
      </c>
    </row>
    <row r="45" spans="2:8" x14ac:dyDescent="0.25">
      <c r="F45" s="4"/>
      <c r="G45" s="4"/>
      <c r="H45" s="4"/>
    </row>
    <row r="46" spans="2:8" x14ac:dyDescent="0.25">
      <c r="B46" t="s">
        <v>21</v>
      </c>
      <c r="F46" s="4"/>
      <c r="G46" s="4"/>
      <c r="H46" s="4"/>
    </row>
    <row r="47" spans="2:8" x14ac:dyDescent="0.25">
      <c r="B47" t="s">
        <v>14</v>
      </c>
      <c r="C47" t="s">
        <v>15</v>
      </c>
      <c r="D47" t="s">
        <v>16</v>
      </c>
      <c r="E47" t="s">
        <v>17</v>
      </c>
      <c r="F47" s="4" t="s">
        <v>40</v>
      </c>
      <c r="G47" s="4" t="s">
        <v>41</v>
      </c>
      <c r="H47" s="4" t="s">
        <v>42</v>
      </c>
    </row>
    <row r="48" spans="2:8" x14ac:dyDescent="0.25">
      <c r="B48">
        <v>2020</v>
      </c>
      <c r="C48" s="6">
        <v>2568</v>
      </c>
      <c r="D48">
        <f>1+57+1</f>
        <v>59</v>
      </c>
      <c r="E48">
        <f>1+20+1+1+1</f>
        <v>24</v>
      </c>
      <c r="F48" s="4">
        <f>D48/C48*100</f>
        <v>2.2975077881619939</v>
      </c>
      <c r="G48" s="4">
        <f>E48/C48*100</f>
        <v>0.93457943925233633</v>
      </c>
      <c r="H48" s="4">
        <f>G48+F48</f>
        <v>3.23208722741433</v>
      </c>
    </row>
    <row r="49" spans="2:8" x14ac:dyDescent="0.25">
      <c r="B49">
        <v>2021</v>
      </c>
      <c r="C49" s="6">
        <v>2474</v>
      </c>
      <c r="D49">
        <f>10+65</f>
        <v>75</v>
      </c>
      <c r="E49">
        <f>6+38+5</f>
        <v>49</v>
      </c>
      <c r="F49" s="4">
        <f t="shared" ref="F49:F50" si="21">D49/C49*100</f>
        <v>3.0315278900565885</v>
      </c>
      <c r="G49" s="4">
        <f t="shared" ref="G49:G50" si="22">E49/C49*100</f>
        <v>1.9805982215036377</v>
      </c>
      <c r="H49" s="4">
        <f t="shared" ref="H49:H50" si="23">G49+F49</f>
        <v>5.0121261115602262</v>
      </c>
    </row>
    <row r="50" spans="2:8" x14ac:dyDescent="0.25">
      <c r="B50">
        <v>2022</v>
      </c>
      <c r="C50" s="6">
        <v>2210</v>
      </c>
      <c r="D50">
        <v>120</v>
      </c>
      <c r="E50">
        <v>52</v>
      </c>
      <c r="F50" s="4">
        <f t="shared" si="21"/>
        <v>5.4298642533936654</v>
      </c>
      <c r="G50" s="4">
        <f t="shared" si="22"/>
        <v>2.3529411764705883</v>
      </c>
      <c r="H50" s="4">
        <f t="shared" si="23"/>
        <v>7.7828054298642542</v>
      </c>
    </row>
    <row r="51" spans="2:8" x14ac:dyDescent="0.25">
      <c r="F51" s="4"/>
      <c r="G51" s="4"/>
      <c r="H51" s="4"/>
    </row>
    <row r="52" spans="2:8" x14ac:dyDescent="0.25">
      <c r="F52" s="4"/>
      <c r="G52" s="4"/>
      <c r="H52" s="4"/>
    </row>
    <row r="53" spans="2:8" x14ac:dyDescent="0.25">
      <c r="B53" t="s">
        <v>29</v>
      </c>
      <c r="F53" s="4"/>
      <c r="G53" s="4"/>
      <c r="H53" s="4"/>
    </row>
    <row r="54" spans="2:8" x14ac:dyDescent="0.25">
      <c r="B54" t="s">
        <v>14</v>
      </c>
      <c r="C54" t="s">
        <v>15</v>
      </c>
      <c r="D54" t="s">
        <v>16</v>
      </c>
      <c r="E54" t="s">
        <v>17</v>
      </c>
      <c r="F54" s="4" t="s">
        <v>40</v>
      </c>
      <c r="G54" s="4" t="s">
        <v>41</v>
      </c>
      <c r="H54" s="4" t="s">
        <v>42</v>
      </c>
    </row>
    <row r="55" spans="2:8" x14ac:dyDescent="0.25">
      <c r="B55">
        <v>2020</v>
      </c>
      <c r="C55" s="6">
        <v>3189</v>
      </c>
      <c r="D55">
        <f>17+103+2+1</f>
        <v>123</v>
      </c>
      <c r="E55">
        <f>10+40+3+8+1+1+1</f>
        <v>64</v>
      </c>
      <c r="F55" s="4">
        <f>D55/C55*100</f>
        <v>3.8570084666039515</v>
      </c>
      <c r="G55" s="4">
        <f>E55/C55*100</f>
        <v>2.0068987143305113</v>
      </c>
      <c r="H55" s="4">
        <f>G55+F55</f>
        <v>5.8639071809344632</v>
      </c>
    </row>
    <row r="56" spans="2:8" x14ac:dyDescent="0.25">
      <c r="B56">
        <v>2021</v>
      </c>
      <c r="C56" s="6">
        <v>3133</v>
      </c>
      <c r="D56">
        <f>43+121+1</f>
        <v>165</v>
      </c>
      <c r="E56">
        <f>20+74+9</f>
        <v>103</v>
      </c>
      <c r="F56" s="4">
        <f t="shared" ref="F56:F57" si="24">D56/C56*100</f>
        <v>5.2665177146504947</v>
      </c>
      <c r="G56" s="4">
        <f t="shared" ref="G56:G57" si="25">E56/C56*100</f>
        <v>3.287583785509097</v>
      </c>
      <c r="H56" s="4">
        <f t="shared" ref="H56:H57" si="26">G56+F56</f>
        <v>8.5541015001595913</v>
      </c>
    </row>
    <row r="57" spans="2:8" x14ac:dyDescent="0.25">
      <c r="B57">
        <v>2022</v>
      </c>
      <c r="C57" s="6">
        <v>2893</v>
      </c>
      <c r="D57">
        <f>78+140+8</f>
        <v>226</v>
      </c>
      <c r="E57">
        <f>39+80+1+2+2+1</f>
        <v>125</v>
      </c>
      <c r="F57" s="4">
        <f t="shared" si="24"/>
        <v>7.8119599032146558</v>
      </c>
      <c r="G57" s="4">
        <f t="shared" si="25"/>
        <v>4.3207742827514686</v>
      </c>
      <c r="H57" s="4">
        <f t="shared" si="26"/>
        <v>12.132734185966125</v>
      </c>
    </row>
    <row r="58" spans="2:8" x14ac:dyDescent="0.25">
      <c r="F58" s="4"/>
      <c r="G58" s="4"/>
      <c r="H58" s="4"/>
    </row>
    <row r="59" spans="2:8" x14ac:dyDescent="0.25">
      <c r="B59" t="s">
        <v>31</v>
      </c>
      <c r="F59" s="4"/>
      <c r="G59" s="4"/>
      <c r="H59" s="4"/>
    </row>
    <row r="60" spans="2:8" x14ac:dyDescent="0.25">
      <c r="B60" t="s">
        <v>14</v>
      </c>
      <c r="C60" t="s">
        <v>15</v>
      </c>
      <c r="D60" t="s">
        <v>16</v>
      </c>
      <c r="E60" t="s">
        <v>17</v>
      </c>
      <c r="F60" s="4" t="s">
        <v>40</v>
      </c>
      <c r="G60" s="4" t="s">
        <v>41</v>
      </c>
      <c r="H60" s="4" t="s">
        <v>42</v>
      </c>
    </row>
    <row r="61" spans="2:8" x14ac:dyDescent="0.25">
      <c r="B61">
        <v>2020</v>
      </c>
      <c r="C61" s="6">
        <v>5059</v>
      </c>
      <c r="D61">
        <f>29+156+3+1</f>
        <v>189</v>
      </c>
      <c r="E61">
        <f>7+64+1+4+5+1+1+1</f>
        <v>84</v>
      </c>
      <c r="F61" s="4">
        <f>D61/C61*100</f>
        <v>3.7359161889701524</v>
      </c>
      <c r="G61" s="4">
        <f>E61/C61*100</f>
        <v>1.6604071950978454</v>
      </c>
      <c r="H61" s="4">
        <f>(D61+E61)/C61*100</f>
        <v>5.3963233840679976</v>
      </c>
    </row>
    <row r="62" spans="2:8" x14ac:dyDescent="0.25">
      <c r="B62">
        <v>2021</v>
      </c>
      <c r="C62" s="6">
        <v>5416</v>
      </c>
      <c r="D62">
        <f>90+207+24</f>
        <v>321</v>
      </c>
      <c r="E62">
        <f>52+106+3+11+3+2+1+1</f>
        <v>179</v>
      </c>
      <c r="F62" s="4">
        <f t="shared" ref="F62:F63" si="27">D62/C62*100</f>
        <v>5.9268833087149186</v>
      </c>
      <c r="G62" s="4">
        <f t="shared" ref="G62:G63" si="28">E62/C62*100</f>
        <v>3.3050221565731168</v>
      </c>
      <c r="H62" s="4">
        <f t="shared" ref="H62:H63" si="29">(D62+E62)/C62*100</f>
        <v>9.231905465288035</v>
      </c>
    </row>
    <row r="63" spans="2:8" x14ac:dyDescent="0.25">
      <c r="B63">
        <v>2022</v>
      </c>
      <c r="C63" s="6">
        <v>4898</v>
      </c>
      <c r="D63">
        <f>120+237+7</f>
        <v>364</v>
      </c>
      <c r="E63">
        <f>32+104+1+10+2+4</f>
        <v>153</v>
      </c>
      <c r="F63" s="4">
        <f t="shared" si="27"/>
        <v>7.4316047366271949</v>
      </c>
      <c r="G63" s="4">
        <f t="shared" si="28"/>
        <v>3.1237239689669254</v>
      </c>
      <c r="H63" s="4">
        <f t="shared" si="29"/>
        <v>10.555328705594121</v>
      </c>
    </row>
    <row r="64" spans="2:8" x14ac:dyDescent="0.25">
      <c r="F64" s="4"/>
      <c r="G64" s="4"/>
      <c r="H64" s="4"/>
    </row>
    <row r="65" spans="2:8" x14ac:dyDescent="0.25">
      <c r="B65" t="s">
        <v>32</v>
      </c>
      <c r="F65" s="4"/>
      <c r="G65" s="4"/>
      <c r="H65" s="4"/>
    </row>
    <row r="66" spans="2:8" x14ac:dyDescent="0.25">
      <c r="B66" t="s">
        <v>14</v>
      </c>
      <c r="C66" t="s">
        <v>15</v>
      </c>
      <c r="D66" t="s">
        <v>16</v>
      </c>
      <c r="E66" t="s">
        <v>17</v>
      </c>
      <c r="F66" s="4" t="s">
        <v>40</v>
      </c>
      <c r="G66" s="4" t="s">
        <v>41</v>
      </c>
      <c r="H66" s="4" t="s">
        <v>42</v>
      </c>
    </row>
    <row r="67" spans="2:8" x14ac:dyDescent="0.25">
      <c r="B67">
        <v>2020</v>
      </c>
      <c r="C67" s="6">
        <v>3463</v>
      </c>
      <c r="D67">
        <f>29+273+3+2</f>
        <v>307</v>
      </c>
      <c r="E67">
        <f>8+107+22+10+3+2</f>
        <v>152</v>
      </c>
      <c r="F67" s="4">
        <f>D67/C67*100</f>
        <v>8.865145827317356</v>
      </c>
      <c r="G67" s="4">
        <f>E67/C67*100</f>
        <v>4.3892578688997981</v>
      </c>
      <c r="H67" s="4">
        <f>(D67+E67)/C67*100</f>
        <v>13.254403696217153</v>
      </c>
    </row>
    <row r="68" spans="2:8" x14ac:dyDescent="0.25">
      <c r="B68">
        <v>2021</v>
      </c>
      <c r="C68" s="6">
        <v>3330</v>
      </c>
      <c r="D68">
        <f>63+341+4</f>
        <v>408</v>
      </c>
      <c r="E68">
        <f>12+161+45+1+11+1+1</f>
        <v>232</v>
      </c>
      <c r="F68" s="4">
        <f t="shared" ref="F68:F69" si="30">D68/C68*100</f>
        <v>12.252252252252251</v>
      </c>
      <c r="G68" s="4">
        <f t="shared" ref="G68:G69" si="31">E68/C68*100</f>
        <v>6.9669669669669672</v>
      </c>
      <c r="H68" s="4">
        <f t="shared" ref="H68:H69" si="32">(D68+E68)/C68*100</f>
        <v>19.219219219219219</v>
      </c>
    </row>
    <row r="69" spans="2:8" x14ac:dyDescent="0.25">
      <c r="B69">
        <v>2022</v>
      </c>
      <c r="C69" s="6">
        <v>3030</v>
      </c>
      <c r="D69">
        <f>100+392+2+4</f>
        <v>498</v>
      </c>
      <c r="E69">
        <f>12+134+1+14+1+5</f>
        <v>167</v>
      </c>
      <c r="F69" s="4">
        <f t="shared" si="30"/>
        <v>16.435643564356436</v>
      </c>
      <c r="G69" s="4">
        <f t="shared" si="31"/>
        <v>5.5115511551155114</v>
      </c>
      <c r="H69" s="4">
        <f t="shared" si="32"/>
        <v>21.947194719471945</v>
      </c>
    </row>
    <row r="70" spans="2:8" x14ac:dyDescent="0.25">
      <c r="F70" s="4"/>
      <c r="G70" s="4"/>
      <c r="H70" s="4"/>
    </row>
    <row r="71" spans="2:8" x14ac:dyDescent="0.25">
      <c r="B71" t="s">
        <v>43</v>
      </c>
      <c r="F71" s="4"/>
      <c r="G71" s="4"/>
      <c r="H71" s="4"/>
    </row>
    <row r="72" spans="2:8" x14ac:dyDescent="0.25">
      <c r="B72" t="s">
        <v>14</v>
      </c>
      <c r="C72" t="s">
        <v>15</v>
      </c>
      <c r="D72" t="s">
        <v>16</v>
      </c>
      <c r="E72" t="s">
        <v>17</v>
      </c>
      <c r="F72" s="4" t="s">
        <v>40</v>
      </c>
      <c r="G72" s="4" t="s">
        <v>41</v>
      </c>
      <c r="H72" s="4" t="s">
        <v>42</v>
      </c>
    </row>
    <row r="73" spans="2:8" x14ac:dyDescent="0.25">
      <c r="B73">
        <v>2020</v>
      </c>
      <c r="C73" s="6">
        <v>1638</v>
      </c>
      <c r="D73">
        <f>3+31+1+1</f>
        <v>36</v>
      </c>
      <c r="E73">
        <f>7+16+1</f>
        <v>24</v>
      </c>
      <c r="F73" s="4">
        <f>D73/C73*100</f>
        <v>2.197802197802198</v>
      </c>
      <c r="G73" s="4">
        <f>E73/C73*100</f>
        <v>1.4652014652014651</v>
      </c>
      <c r="H73" s="4">
        <f>(D73+E73)/C73*100</f>
        <v>3.6630036630036633</v>
      </c>
    </row>
    <row r="74" spans="2:8" x14ac:dyDescent="0.25">
      <c r="B74">
        <v>2021</v>
      </c>
      <c r="C74" s="6">
        <v>1669</v>
      </c>
      <c r="D74">
        <f>27+72+7+1</f>
        <v>107</v>
      </c>
      <c r="E74">
        <f>20+43+6</f>
        <v>69</v>
      </c>
      <c r="F74" s="4">
        <f t="shared" ref="F74:F75" si="33">D74/C74*100</f>
        <v>6.411024565608149</v>
      </c>
      <c r="G74" s="4">
        <f t="shared" ref="G74:G75" si="34">E74/C74*100</f>
        <v>4.134212103055722</v>
      </c>
      <c r="H74" s="4">
        <f t="shared" ref="H74:H75" si="35">(D74+E74)/C74*100</f>
        <v>10.545236668663872</v>
      </c>
    </row>
    <row r="75" spans="2:8" x14ac:dyDescent="0.25">
      <c r="B75">
        <v>2022</v>
      </c>
      <c r="C75" s="6">
        <v>1355</v>
      </c>
      <c r="D75">
        <f>37+77+3</f>
        <v>117</v>
      </c>
      <c r="E75">
        <f>10+27+2+1</f>
        <v>40</v>
      </c>
      <c r="F75" s="4">
        <f t="shared" si="33"/>
        <v>8.634686346863468</v>
      </c>
      <c r="G75" s="4">
        <f t="shared" si="34"/>
        <v>2.9520295202952029</v>
      </c>
      <c r="H75" s="4">
        <f t="shared" si="35"/>
        <v>11.586715867158672</v>
      </c>
    </row>
    <row r="76" spans="2:8" x14ac:dyDescent="0.25">
      <c r="F76" s="4"/>
      <c r="G76" s="4"/>
      <c r="H76" s="4"/>
    </row>
    <row r="77" spans="2:8" x14ac:dyDescent="0.25">
      <c r="B77" t="s">
        <v>45</v>
      </c>
      <c r="F77" s="4"/>
      <c r="G77" s="4"/>
      <c r="H77" s="4"/>
    </row>
    <row r="78" spans="2:8" x14ac:dyDescent="0.25">
      <c r="B78" t="s">
        <v>14</v>
      </c>
      <c r="C78" t="s">
        <v>15</v>
      </c>
      <c r="D78" t="s">
        <v>16</v>
      </c>
      <c r="E78" t="s">
        <v>17</v>
      </c>
      <c r="F78" s="4" t="s">
        <v>40</v>
      </c>
      <c r="G78" s="4" t="s">
        <v>41</v>
      </c>
      <c r="H78" s="4" t="s">
        <v>42</v>
      </c>
    </row>
    <row r="79" spans="2:8" x14ac:dyDescent="0.25">
      <c r="B79">
        <v>2020</v>
      </c>
      <c r="C79">
        <v>2476</v>
      </c>
      <c r="D79">
        <v>114</v>
      </c>
      <c r="E79">
        <v>56</v>
      </c>
      <c r="F79" s="4">
        <f>D79/C79*100</f>
        <v>4.604200323101777</v>
      </c>
      <c r="G79" s="4">
        <f>E79/C79*100</f>
        <v>2.2617124394184165</v>
      </c>
      <c r="H79" s="4">
        <f>(D79+E79)/C79*100</f>
        <v>6.8659127625201934</v>
      </c>
    </row>
    <row r="80" spans="2:8" x14ac:dyDescent="0.25">
      <c r="B80">
        <v>2021</v>
      </c>
      <c r="C80">
        <v>2459</v>
      </c>
      <c r="D80">
        <v>192</v>
      </c>
      <c r="E80">
        <v>91</v>
      </c>
      <c r="F80" s="4">
        <f t="shared" ref="F80:F81" si="36">D80/C80*100</f>
        <v>7.808052053680357</v>
      </c>
      <c r="G80" s="4">
        <f t="shared" ref="G80:G81" si="37">E80/C80*100</f>
        <v>3.7006913379422532</v>
      </c>
      <c r="H80" s="4">
        <f t="shared" ref="H80:H81" si="38">(D80+E80)/C80*100</f>
        <v>11.508743391622611</v>
      </c>
    </row>
    <row r="81" spans="2:8" x14ac:dyDescent="0.25">
      <c r="B81">
        <v>2022</v>
      </c>
      <c r="C81">
        <v>2276</v>
      </c>
      <c r="D81">
        <v>230</v>
      </c>
      <c r="E81">
        <v>90</v>
      </c>
      <c r="F81" s="4">
        <f t="shared" si="36"/>
        <v>10.105448154657294</v>
      </c>
      <c r="G81" s="4">
        <f t="shared" si="37"/>
        <v>3.9543057996485063</v>
      </c>
      <c r="H81" s="4">
        <f t="shared" si="38"/>
        <v>14.059753954305801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Element 2 EV uptake Model</vt:lpstr>
      <vt:lpstr>veh 9901 data used in Element 2</vt:lpstr>
    </vt:vector>
  </TitlesOfParts>
  <Company>University of Edinburgh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McQuaid</dc:creator>
  <cp:lastModifiedBy>Thomas</cp:lastModifiedBy>
  <dcterms:created xsi:type="dcterms:W3CDTF">2023-12-06T10:56:23Z</dcterms:created>
  <dcterms:modified xsi:type="dcterms:W3CDTF">2024-04-04T13:15:50Z</dcterms:modified>
</cp:coreProperties>
</file>