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bquaife/Library/Containers/com.apple.mail/Data/Library/Mail Downloads/9DC0EB7A-8765-44B1-BB4E-D2021BAA7BBC/"/>
    </mc:Choice>
  </mc:AlternateContent>
  <xr:revisionPtr revIDLastSave="0" documentId="13_ncr:1_{0224D7E3-19B7-3544-8BDB-A8310AACFD67}" xr6:coauthVersionLast="36" xr6:coauthVersionMax="36" xr10:uidLastSave="{00000000-0000-0000-0000-000000000000}"/>
  <bookViews>
    <workbookView xWindow="1840" yWindow="460" windowWidth="26320" windowHeight="19040" xr2:uid="{00000000-000D-0000-FFFF-FFFF00000000}"/>
  </bookViews>
  <sheets>
    <sheet name="budg 1" sheetId="4" r:id="rId1"/>
  </sheets>
  <definedNames>
    <definedName name="_xlnm.Print_Area" localSheetId="0">'budg 1'!$A$1:$I$41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4" l="1"/>
  <c r="D13" i="4"/>
  <c r="E30" i="4"/>
  <c r="E7" i="4"/>
  <c r="C12" i="4"/>
  <c r="I47" i="4"/>
  <c r="C7" i="4"/>
  <c r="C8" i="4" s="1"/>
  <c r="F8" i="4" s="1"/>
  <c r="D7" i="4"/>
  <c r="I25" i="4"/>
  <c r="C5" i="4"/>
  <c r="C14" i="4"/>
  <c r="D28" i="4"/>
  <c r="E28" i="4"/>
  <c r="C28" i="4"/>
  <c r="C9" i="4"/>
  <c r="D9" i="4" s="1"/>
  <c r="D11" i="4"/>
  <c r="F39" i="4"/>
  <c r="F38" i="4"/>
  <c r="C30" i="4"/>
  <c r="F30" i="4" s="1"/>
  <c r="C15" i="4"/>
  <c r="F24" i="4"/>
  <c r="F25" i="4"/>
  <c r="F26" i="4"/>
  <c r="F27" i="4"/>
  <c r="F29" i="4"/>
  <c r="F33" i="4"/>
  <c r="D30" i="4"/>
  <c r="D12" i="4"/>
  <c r="E11" i="4"/>
  <c r="F11" i="4" s="1"/>
  <c r="C16" i="4"/>
  <c r="D15" i="4"/>
  <c r="E15" i="4" s="1"/>
  <c r="E16" i="4" s="1"/>
  <c r="D8" i="4"/>
  <c r="E8" i="4"/>
  <c r="D5" i="4"/>
  <c r="D6" i="4" s="1"/>
  <c r="C6" i="4"/>
  <c r="E5" i="4"/>
  <c r="E6" i="4" s="1"/>
  <c r="F5" i="4"/>
  <c r="F28" i="4" l="1"/>
  <c r="F6" i="4"/>
  <c r="E9" i="4"/>
  <c r="E10" i="4" s="1"/>
  <c r="E19" i="4" s="1"/>
  <c r="D10" i="4"/>
  <c r="F13" i="4"/>
  <c r="D14" i="4"/>
  <c r="F14" i="4" s="1"/>
  <c r="C18" i="4"/>
  <c r="F7" i="4"/>
  <c r="D16" i="4"/>
  <c r="F16" i="4" s="1"/>
  <c r="D18" i="4"/>
  <c r="F9" i="4"/>
  <c r="E12" i="4"/>
  <c r="F12" i="4" s="1"/>
  <c r="E13" i="4"/>
  <c r="E14" i="4" s="1"/>
  <c r="F15" i="4"/>
  <c r="C10" i="4"/>
  <c r="C19" i="4" s="1"/>
  <c r="C20" i="4" l="1"/>
  <c r="D19" i="4"/>
  <c r="F19" i="4" s="1"/>
  <c r="F10" i="4"/>
  <c r="E18" i="4"/>
  <c r="E20" i="4" s="1"/>
  <c r="E32" i="4" l="1"/>
  <c r="E34" i="4" s="1"/>
  <c r="E31" i="4"/>
  <c r="F18" i="4"/>
  <c r="C31" i="4"/>
  <c r="C32" i="4"/>
  <c r="D20" i="4"/>
  <c r="F20" i="4" s="1"/>
  <c r="E35" i="4" l="1"/>
  <c r="D32" i="4"/>
  <c r="D34" i="4" s="1"/>
  <c r="D31" i="4"/>
  <c r="C34" i="4"/>
  <c r="C35" i="4" s="1"/>
  <c r="F32" i="4" l="1"/>
  <c r="D35" i="4"/>
  <c r="F35" i="4" s="1"/>
  <c r="F31" i="4"/>
  <c r="F34" i="4"/>
</calcChain>
</file>

<file path=xl/sharedStrings.xml><?xml version="1.0" encoding="utf-8"?>
<sst xmlns="http://schemas.openxmlformats.org/spreadsheetml/2006/main" count="80" uniqueCount="58">
  <si>
    <t>PI name  Matthew N. Moore</t>
  </si>
  <si>
    <t xml:space="preserve">Title.  </t>
  </si>
  <si>
    <t>SALARIES AND BENEFITS</t>
  </si>
  <si>
    <t>YEAR  1</t>
  </si>
  <si>
    <t>YEAR  2</t>
  </si>
  <si>
    <t>YEAR  3</t>
  </si>
  <si>
    <t>Totals</t>
  </si>
  <si>
    <t xml:space="preserve"> </t>
  </si>
  <si>
    <t>INFORMATION TO FILL OUT</t>
  </si>
  <si>
    <t>PI name    Matthew Moore</t>
  </si>
  <si>
    <t>Number of GAs</t>
  </si>
  <si>
    <t>Benefits/Fringe</t>
  </si>
  <si>
    <t>Current Stipend Amt</t>
  </si>
  <si>
    <t>PI#2 name   Bryan Quaife</t>
  </si>
  <si>
    <t>Number of semester per AY</t>
  </si>
  <si>
    <t>Current Summer Stipend</t>
  </si>
  <si>
    <t>Tech Person</t>
  </si>
  <si>
    <t>Number of Summer GAs</t>
  </si>
  <si>
    <t>Current Insurance Subsidy</t>
  </si>
  <si>
    <t xml:space="preserve">Post doc  </t>
  </si>
  <si>
    <t>Current Fringe Amount</t>
  </si>
  <si>
    <t>Current Tuition (hr In-State)</t>
  </si>
  <si>
    <t xml:space="preserve">Grad student(s) </t>
  </si>
  <si>
    <t>Credit hours per semester</t>
  </si>
  <si>
    <t>Undergrad</t>
  </si>
  <si>
    <t>Number of PostDocs</t>
  </si>
  <si>
    <t>Biweekly Salary</t>
  </si>
  <si>
    <t>Number of pay periods</t>
  </si>
  <si>
    <t xml:space="preserve">TOTAL SALARIES </t>
  </si>
  <si>
    <t>TOTAL BENEFITS</t>
  </si>
  <si>
    <t>Current Health Amount</t>
  </si>
  <si>
    <t>TOTAL SALARIES AND BENEFITS/INS</t>
  </si>
  <si>
    <t>PI Salary</t>
  </si>
  <si>
    <t>EXPENSES</t>
  </si>
  <si>
    <t>Salary duration (months)</t>
  </si>
  <si>
    <t>Travel</t>
  </si>
  <si>
    <t>19.5/9</t>
  </si>
  <si>
    <t xml:space="preserve">     Domestic</t>
  </si>
  <si>
    <t>Current PI Fringe Amount</t>
  </si>
  <si>
    <t xml:space="preserve">     Foreign</t>
  </si>
  <si>
    <t>Calculated Bi-weekly Salary</t>
  </si>
  <si>
    <t>Materials and Supplies</t>
  </si>
  <si>
    <t>Publication costs</t>
  </si>
  <si>
    <t>Number of Tech Persons</t>
  </si>
  <si>
    <t>TOTAL EXPENSES</t>
  </si>
  <si>
    <t>Equipment</t>
  </si>
  <si>
    <t>Tuition</t>
  </si>
  <si>
    <t>TOTAL DIRECT COSTS</t>
  </si>
  <si>
    <t>base for overhead</t>
  </si>
  <si>
    <t>OVERHEAD</t>
  </si>
  <si>
    <t>Number of Undergraduates</t>
  </si>
  <si>
    <t>FSU Rate</t>
  </si>
  <si>
    <t>TOTAL DIRECT AND INDIRECT COSTS</t>
  </si>
  <si>
    <t xml:space="preserve">This budget includes an annual salary increase of </t>
  </si>
  <si>
    <t>and an annual tuition increase of</t>
  </si>
  <si>
    <t>FSU Overhead Rate</t>
  </si>
  <si>
    <t>Annual Increase in Salary</t>
  </si>
  <si>
    <t>Annual Increase in 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</si>
</sst>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&quot;$&quot;#,##0"/>
    <numFmt numFmtId="165" formatCode="#,##0.00000_);\(#,##0.00000\)"/>
    <numFmt numFmtId="166" formatCode="&quot;$&quot;#,##0.00"/>
    <numFmt numFmtId="167" formatCode="0_);\(0\)"/>
  </numFmts>
  <fonts count="6" x14ac:knownFonts="1">
    <font>
      <sz val="10"/>
      <name val="Palatino"/>
    </font>
    <font>
      <b/>
      <sz val="10"/>
      <name val="Palatino"/>
      <family val="1"/>
    </font>
    <font>
      <sz val="10"/>
      <name val="Palatino"/>
      <family val="1"/>
    </font>
    <font>
      <u/>
      <sz val="10"/>
      <color theme="10"/>
      <name val="Palatino"/>
      <family val="1"/>
    </font>
    <font>
      <u/>
      <sz val="10"/>
      <color theme="11"/>
      <name val="Palatino"/>
      <family val="1"/>
    </font>
    <font>
      <u/>
      <sz val="10"/>
      <name val="Palatin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5" fontId="1" fillId="0" borderId="1" xfId="0" applyNumberFormat="1" applyFont="1" applyBorder="1" applyAlignment="1">
      <alignment horizontal="center"/>
    </xf>
    <xf numFmtId="5" fontId="1" fillId="0" borderId="0" xfId="0" applyNumberFormat="1" applyFont="1"/>
    <xf numFmtId="5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7" fontId="0" fillId="0" borderId="0" xfId="0" applyNumberFormat="1"/>
    <xf numFmtId="7" fontId="1" fillId="0" borderId="0" xfId="0" applyNumberFormat="1" applyFont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4" fontId="0" fillId="2" borderId="6" xfId="0" applyNumberFormat="1" applyFill="1" applyBorder="1"/>
    <xf numFmtId="166" fontId="0" fillId="2" borderId="7" xfId="0" applyNumberFormat="1" applyFill="1" applyBorder="1"/>
    <xf numFmtId="164" fontId="0" fillId="2" borderId="6" xfId="0" applyNumberFormat="1" applyFill="1" applyBorder="1"/>
    <xf numFmtId="3" fontId="0" fillId="2" borderId="7" xfId="0" applyNumberFormat="1" applyFill="1" applyBorder="1"/>
    <xf numFmtId="164" fontId="0" fillId="2" borderId="7" xfId="0" applyNumberFormat="1" applyFill="1" applyBorder="1"/>
    <xf numFmtId="10" fontId="0" fillId="2" borderId="6" xfId="0" applyNumberFormat="1" applyFill="1" applyBorder="1"/>
    <xf numFmtId="10" fontId="0" fillId="2" borderId="7" xfId="0" applyNumberFormat="1" applyFill="1" applyBorder="1"/>
    <xf numFmtId="0" fontId="0" fillId="2" borderId="6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10" fontId="0" fillId="2" borderId="10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0" xfId="0" applyFill="1" applyBorder="1"/>
    <xf numFmtId="10" fontId="0" fillId="2" borderId="11" xfId="0" applyNumberFormat="1" applyFill="1" applyBorder="1"/>
    <xf numFmtId="0" fontId="0" fillId="2" borderId="10" xfId="0" applyFont="1" applyFill="1" applyBorder="1"/>
    <xf numFmtId="0" fontId="0" fillId="2" borderId="14" xfId="0" applyFill="1" applyBorder="1"/>
    <xf numFmtId="10" fontId="0" fillId="2" borderId="15" xfId="0" applyNumberFormat="1" applyFill="1" applyBorder="1"/>
    <xf numFmtId="10" fontId="0" fillId="0" borderId="0" xfId="0" applyNumberFormat="1"/>
    <xf numFmtId="0" fontId="0" fillId="0" borderId="4" xfId="0" applyFill="1" applyBorder="1"/>
    <xf numFmtId="0" fontId="0" fillId="0" borderId="5" xfId="0" applyFill="1" applyBorder="1"/>
    <xf numFmtId="5" fontId="1" fillId="2" borderId="16" xfId="0" applyNumberFormat="1" applyFont="1" applyFill="1" applyBorder="1"/>
    <xf numFmtId="0" fontId="0" fillId="0" borderId="0" xfId="0" applyAlignment="1">
      <alignment horizontal="right"/>
    </xf>
    <xf numFmtId="0" fontId="0" fillId="0" borderId="0" xfId="0" applyFont="1"/>
    <xf numFmtId="167" fontId="1" fillId="0" borderId="0" xfId="0" applyNumberFormat="1" applyFont="1" applyBorder="1" applyAlignment="1">
      <alignment horizontal="center"/>
    </xf>
    <xf numFmtId="9" fontId="0" fillId="0" borderId="0" xfId="0" applyNumberFormat="1"/>
    <xf numFmtId="0" fontId="0" fillId="0" borderId="7" xfId="0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5" fontId="0" fillId="0" borderId="0" xfId="0" applyNumberFormat="1" applyAlignment="1">
      <alignment horizontal="right"/>
    </xf>
    <xf numFmtId="7" fontId="2" fillId="0" borderId="0" xfId="0" applyNumberFormat="1" applyFont="1" applyAlignment="1"/>
    <xf numFmtId="0" fontId="0" fillId="0" borderId="0" xfId="0" applyAlignment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B1" zoomScale="120" zoomScaleNormal="120" zoomScalePageLayoutView="150" workbookViewId="0">
      <selection activeCell="D25" sqref="D25"/>
    </sheetView>
  </sheetViews>
  <sheetFormatPr baseColWidth="10" defaultColWidth="11.3984375" defaultRowHeight="14" x14ac:dyDescent="0.2"/>
  <cols>
    <col min="1" max="1" width="2.3984375" style="1" customWidth="1"/>
    <col min="2" max="2" width="41.3984375" customWidth="1"/>
    <col min="3" max="3" width="15" style="4" customWidth="1"/>
    <col min="4" max="5" width="14.59765625" style="4" customWidth="1"/>
    <col min="6" max="6" width="15.59765625" style="4" customWidth="1"/>
    <col min="8" max="8" width="21.19921875" bestFit="1" customWidth="1"/>
    <col min="9" max="9" width="11.3984375" customWidth="1"/>
  </cols>
  <sheetData>
    <row r="1" spans="1:10" x14ac:dyDescent="0.2">
      <c r="B1" s="1" t="s">
        <v>0</v>
      </c>
      <c r="C1"/>
      <c r="D1"/>
      <c r="E1"/>
    </row>
    <row r="2" spans="1:10" x14ac:dyDescent="0.2">
      <c r="B2" s="1" t="s">
        <v>1</v>
      </c>
      <c r="C2" s="40">
        <v>2020</v>
      </c>
      <c r="D2" s="40">
        <v>2021</v>
      </c>
      <c r="E2" s="40">
        <v>2022</v>
      </c>
    </row>
    <row r="3" spans="1:10" ht="15" thickBot="1" x14ac:dyDescent="0.25">
      <c r="A3" s="1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10" ht="15" thickBot="1" x14ac:dyDescent="0.25">
      <c r="G4" t="s">
        <v>7</v>
      </c>
      <c r="H4" s="43" t="s">
        <v>8</v>
      </c>
      <c r="I4" s="44"/>
    </row>
    <row r="5" spans="1:10" x14ac:dyDescent="0.2">
      <c r="B5" s="1" t="s">
        <v>9</v>
      </c>
      <c r="C5" s="6">
        <f xml:space="preserve"> $I$23*$I$25</f>
        <v>9720.1765128205134</v>
      </c>
      <c r="D5" s="6">
        <f xml:space="preserve"> C5*(1+$I$40)</f>
        <v>10011.781808205129</v>
      </c>
      <c r="E5" s="6">
        <f xml:space="preserve"> D5*(1+$I$40)</f>
        <v>10312.135262451284</v>
      </c>
      <c r="F5" s="4">
        <f>SUM(C5:E5)</f>
        <v>30044.093583476926</v>
      </c>
      <c r="G5" t="s">
        <v>7</v>
      </c>
      <c r="H5" s="23" t="s">
        <v>10</v>
      </c>
      <c r="I5" s="24">
        <v>1</v>
      </c>
      <c r="J5">
        <v>1</v>
      </c>
    </row>
    <row r="6" spans="1:10" x14ac:dyDescent="0.2">
      <c r="B6" t="s">
        <v>11</v>
      </c>
      <c r="C6" s="4">
        <f>C5*$I$24</f>
        <v>1658.2621130871796</v>
      </c>
      <c r="D6" s="4">
        <f>D5*$I$24</f>
        <v>1708.0099764797951</v>
      </c>
      <c r="E6" s="4">
        <f>E5*$I$24</f>
        <v>1759.250275774189</v>
      </c>
      <c r="F6" s="4">
        <f t="shared" ref="F6:F16" si="0">SUM(C6:E6)</f>
        <v>5125.5223653411631</v>
      </c>
      <c r="H6" s="14" t="s">
        <v>12</v>
      </c>
      <c r="I6" s="15">
        <v>10500</v>
      </c>
      <c r="J6">
        <v>9860</v>
      </c>
    </row>
    <row r="7" spans="1:10" x14ac:dyDescent="0.2">
      <c r="B7" s="1" t="s">
        <v>13</v>
      </c>
      <c r="C7" s="6">
        <f xml:space="preserve"> $I$45*$I$47</f>
        <v>10552.682461538463</v>
      </c>
      <c r="D7" s="4">
        <f>C7*(1+I40)</f>
        <v>10869.262935384617</v>
      </c>
      <c r="E7" s="4">
        <f xml:space="preserve"> $J$45*$J$47</f>
        <v>5597.5370000000003</v>
      </c>
      <c r="F7" s="4">
        <f t="shared" si="0"/>
        <v>27019.482396923082</v>
      </c>
      <c r="H7" s="16" t="s">
        <v>14</v>
      </c>
      <c r="I7" s="17">
        <v>2</v>
      </c>
      <c r="J7">
        <v>1</v>
      </c>
    </row>
    <row r="8" spans="1:10" x14ac:dyDescent="0.2">
      <c r="B8" t="s">
        <v>11</v>
      </c>
      <c r="C8" s="4">
        <f>C7*$I$24</f>
        <v>1800.2876279384618</v>
      </c>
      <c r="D8" s="4">
        <f t="shared" ref="D8:E8" si="1">D7*16.64%</f>
        <v>1808.6453524480003</v>
      </c>
      <c r="E8" s="4">
        <f t="shared" si="1"/>
        <v>931.43015679999996</v>
      </c>
      <c r="F8" s="4">
        <f t="shared" si="0"/>
        <v>4540.3631371864622</v>
      </c>
      <c r="H8" s="16" t="s">
        <v>15</v>
      </c>
      <c r="I8" s="18">
        <v>7850</v>
      </c>
      <c r="J8">
        <v>6317.66</v>
      </c>
    </row>
    <row r="9" spans="1:10" x14ac:dyDescent="0.2">
      <c r="B9" s="1" t="s">
        <v>16</v>
      </c>
      <c r="C9" s="4">
        <f>I27*I28*I29</f>
        <v>0</v>
      </c>
      <c r="D9" s="4">
        <f>C9*(1+$I$40)</f>
        <v>0</v>
      </c>
      <c r="E9" s="4">
        <f>D9*(1+$I$40)*0</f>
        <v>0</v>
      </c>
      <c r="F9" s="4">
        <f t="shared" si="0"/>
        <v>0</v>
      </c>
      <c r="H9" s="16" t="s">
        <v>17</v>
      </c>
      <c r="I9" s="17">
        <v>0</v>
      </c>
      <c r="J9">
        <v>1</v>
      </c>
    </row>
    <row r="10" spans="1:10" x14ac:dyDescent="0.2">
      <c r="B10" t="s">
        <v>11</v>
      </c>
      <c r="C10" s="4">
        <f>C9*I30</f>
        <v>0</v>
      </c>
      <c r="D10" s="4">
        <f>D9*I30</f>
        <v>0</v>
      </c>
      <c r="E10" s="4">
        <f t="shared" ref="E10" si="2">E9*16.64%</f>
        <v>0</v>
      </c>
      <c r="F10" s="4">
        <f t="shared" si="0"/>
        <v>0</v>
      </c>
      <c r="H10" s="12" t="s">
        <v>18</v>
      </c>
      <c r="I10" s="13">
        <v>1920</v>
      </c>
    </row>
    <row r="11" spans="1:10" x14ac:dyDescent="0.2">
      <c r="B11" s="1" t="s">
        <v>19</v>
      </c>
      <c r="C11" s="4">
        <v>0</v>
      </c>
      <c r="D11" s="4">
        <f>C11*(1+$I$40)</f>
        <v>0</v>
      </c>
      <c r="E11" s="4">
        <f>D11*(1+$I$40)*0</f>
        <v>0</v>
      </c>
      <c r="F11" s="4">
        <f t="shared" si="0"/>
        <v>0</v>
      </c>
      <c r="H11" s="19" t="s">
        <v>20</v>
      </c>
      <c r="I11" s="20">
        <v>1E-3</v>
      </c>
    </row>
    <row r="12" spans="1:10" x14ac:dyDescent="0.2">
      <c r="B12" t="s">
        <v>11</v>
      </c>
      <c r="C12" s="4">
        <f>C11*$I$18</f>
        <v>0</v>
      </c>
      <c r="D12" s="4">
        <f t="shared" ref="D12:E12" si="3">D11*$I$18</f>
        <v>0</v>
      </c>
      <c r="E12" s="4">
        <f t="shared" si="3"/>
        <v>0</v>
      </c>
      <c r="F12" s="4">
        <f t="shared" si="0"/>
        <v>0</v>
      </c>
      <c r="H12" s="25" t="s">
        <v>21</v>
      </c>
      <c r="I12" s="26">
        <v>407.55</v>
      </c>
      <c r="J12">
        <v>415.75</v>
      </c>
    </row>
    <row r="13" spans="1:10" x14ac:dyDescent="0.2">
      <c r="B13" s="1" t="s">
        <v>22</v>
      </c>
      <c r="C13" s="4">
        <f xml:space="preserve"> (I5 * I6 * I7) + (I8*I9)</f>
        <v>21000</v>
      </c>
      <c r="D13" s="4">
        <f>C13*(1+$I$40)</f>
        <v>21630</v>
      </c>
      <c r="E13" s="4">
        <f>D13*(1+$I$40)</f>
        <v>22278.9</v>
      </c>
      <c r="F13" s="4">
        <f t="shared" si="0"/>
        <v>64908.9</v>
      </c>
      <c r="H13" s="19" t="s">
        <v>23</v>
      </c>
      <c r="I13" s="13">
        <v>9</v>
      </c>
      <c r="J13">
        <v>9</v>
      </c>
    </row>
    <row r="14" spans="1:10" x14ac:dyDescent="0.2">
      <c r="B14" t="s">
        <v>11</v>
      </c>
      <c r="C14" s="4">
        <f>(C13*$I$11) + ($I$5*$I$10)</f>
        <v>1941</v>
      </c>
      <c r="D14" s="4">
        <f>(D13*$I$11) + ($I$5*$I$10)</f>
        <v>1941.63</v>
      </c>
      <c r="E14" s="4">
        <f>(E13*$I$11) + ($I$5*$I$10)</f>
        <v>1942.2789</v>
      </c>
      <c r="F14" s="4">
        <f t="shared" si="0"/>
        <v>5824.9089000000004</v>
      </c>
      <c r="H14" s="10"/>
      <c r="I14" s="11"/>
    </row>
    <row r="15" spans="1:10" x14ac:dyDescent="0.2">
      <c r="B15" s="1" t="s">
        <v>24</v>
      </c>
      <c r="C15" s="4">
        <f xml:space="preserve"> I33*I34*I35</f>
        <v>0</v>
      </c>
      <c r="D15" s="4">
        <f>C15</f>
        <v>0</v>
      </c>
      <c r="E15" s="4">
        <f>D15*(1+$I$40)*0</f>
        <v>0</v>
      </c>
      <c r="F15" s="4">
        <f t="shared" si="0"/>
        <v>0</v>
      </c>
      <c r="H15" s="12" t="s">
        <v>25</v>
      </c>
      <c r="I15" s="13">
        <v>0</v>
      </c>
    </row>
    <row r="16" spans="1:10" x14ac:dyDescent="0.2">
      <c r="B16" t="s">
        <v>11</v>
      </c>
      <c r="C16" s="4">
        <f>C15*I36</f>
        <v>0</v>
      </c>
      <c r="D16" s="4">
        <f>D15*I36</f>
        <v>0</v>
      </c>
      <c r="E16" s="4">
        <f>E15*$I$36*0</f>
        <v>0</v>
      </c>
      <c r="F16" s="4">
        <f t="shared" si="0"/>
        <v>0</v>
      </c>
      <c r="H16" s="27" t="s">
        <v>26</v>
      </c>
      <c r="I16" s="28">
        <v>0</v>
      </c>
    </row>
    <row r="17" spans="1:10" x14ac:dyDescent="0.2">
      <c r="H17" s="12" t="s">
        <v>27</v>
      </c>
      <c r="I17" s="13">
        <v>0</v>
      </c>
    </row>
    <row r="18" spans="1:10" x14ac:dyDescent="0.2">
      <c r="A18" s="1" t="s">
        <v>28</v>
      </c>
      <c r="C18" s="3">
        <f>C5+C7+C9+C11+C13+C15</f>
        <v>41272.858974358976</v>
      </c>
      <c r="D18" s="3">
        <f t="shared" ref="C18:D19" si="4">D5+D7+D9+D11+D13+D15</f>
        <v>42511.044743589744</v>
      </c>
      <c r="E18" s="3">
        <f t="shared" ref="E18" si="5">E5+E7+E9+E11+E13+E15</f>
        <v>38188.572262451285</v>
      </c>
      <c r="F18" s="3">
        <f xml:space="preserve"> SUM(C18:E18)</f>
        <v>121972.47598040001</v>
      </c>
      <c r="H18" s="29" t="s">
        <v>20</v>
      </c>
      <c r="I18" s="30">
        <v>1.55E-2</v>
      </c>
      <c r="J18" s="4"/>
    </row>
    <row r="19" spans="1:10" x14ac:dyDescent="0.2">
      <c r="A19" s="1" t="s">
        <v>29</v>
      </c>
      <c r="C19" s="4">
        <f t="shared" si="4"/>
        <v>5399.5497410256412</v>
      </c>
      <c r="D19" s="4">
        <f t="shared" si="4"/>
        <v>5458.2853289277955</v>
      </c>
      <c r="E19" s="4">
        <f t="shared" ref="E19" si="6">E6+E8+E10+E12+E14+E16</f>
        <v>4632.9593325741889</v>
      </c>
      <c r="F19" s="3">
        <f t="shared" ref="F19:F20" si="7" xml:space="preserve"> SUM(C19:E19)</f>
        <v>15490.794402527627</v>
      </c>
      <c r="H19" s="12" t="s">
        <v>30</v>
      </c>
      <c r="I19" s="18">
        <v>16555</v>
      </c>
      <c r="J19" s="7"/>
    </row>
    <row r="20" spans="1:10" s="1" customFormat="1" x14ac:dyDescent="0.2">
      <c r="A20" s="1" t="s">
        <v>31</v>
      </c>
      <c r="C20" s="3">
        <f>C18+C19</f>
        <v>46672.408715384619</v>
      </c>
      <c r="D20" s="3">
        <f>D18+D19</f>
        <v>47969.330072517536</v>
      </c>
      <c r="E20" s="3">
        <f>E18+E19</f>
        <v>42821.531595025474</v>
      </c>
      <c r="F20" s="3">
        <f t="shared" si="7"/>
        <v>137463.27038292761</v>
      </c>
      <c r="H20" s="10" t="s">
        <v>7</v>
      </c>
      <c r="I20" s="11"/>
      <c r="J20" s="3"/>
    </row>
    <row r="21" spans="1:10" x14ac:dyDescent="0.2">
      <c r="H21" s="12" t="s">
        <v>32</v>
      </c>
      <c r="I21" s="13">
        <v>86156.11</v>
      </c>
    </row>
    <row r="22" spans="1:10" x14ac:dyDescent="0.2">
      <c r="A22" s="1" t="s">
        <v>33</v>
      </c>
      <c r="H22" s="12" t="s">
        <v>34</v>
      </c>
      <c r="I22" s="13">
        <v>9</v>
      </c>
    </row>
    <row r="23" spans="1:10" x14ac:dyDescent="0.2">
      <c r="A23"/>
      <c r="B23" t="s">
        <v>35</v>
      </c>
      <c r="F23" s="3"/>
      <c r="H23" s="21" t="s">
        <v>27</v>
      </c>
      <c r="I23" s="22">
        <v>2.2000000000000002</v>
      </c>
      <c r="J23" s="38" t="s">
        <v>36</v>
      </c>
    </row>
    <row r="24" spans="1:10" x14ac:dyDescent="0.2">
      <c r="A24"/>
      <c r="B24" t="s">
        <v>37</v>
      </c>
      <c r="C24" s="4">
        <v>0</v>
      </c>
      <c r="D24" s="4">
        <v>3500</v>
      </c>
      <c r="E24" s="4">
        <v>3500</v>
      </c>
      <c r="F24" s="3">
        <f t="shared" ref="F24:F25" si="8" xml:space="preserve"> SUM(C24:E24)</f>
        <v>7000</v>
      </c>
      <c r="H24" s="31" t="s">
        <v>38</v>
      </c>
      <c r="I24" s="30">
        <v>0.1706</v>
      </c>
    </row>
    <row r="25" spans="1:10" x14ac:dyDescent="0.2">
      <c r="A25"/>
      <c r="B25" t="s">
        <v>39</v>
      </c>
      <c r="C25" s="4">
        <v>0</v>
      </c>
      <c r="D25" s="4">
        <v>0</v>
      </c>
      <c r="E25" s="4">
        <v>0</v>
      </c>
      <c r="F25" s="3">
        <f t="shared" si="8"/>
        <v>0</v>
      </c>
      <c r="H25" s="12" t="s">
        <v>40</v>
      </c>
      <c r="I25" s="13">
        <f xml:space="preserve"> IF(I22 = 9, I21/19.5, IF(I22 = 12, I21/26,0))</f>
        <v>4418.2620512820513</v>
      </c>
    </row>
    <row r="26" spans="1:10" s="1" customFormat="1" x14ac:dyDescent="0.2">
      <c r="B26" t="s">
        <v>41</v>
      </c>
      <c r="C26" s="4">
        <v>3000</v>
      </c>
      <c r="D26" s="4">
        <v>0</v>
      </c>
      <c r="E26" s="4">
        <v>0</v>
      </c>
      <c r="F26" s="3">
        <f t="shared" ref="F26:F35" si="9" xml:space="preserve"> SUM(C26:E26)</f>
        <v>3000</v>
      </c>
      <c r="H26" s="10"/>
      <c r="I26" s="11"/>
    </row>
    <row r="27" spans="1:10" s="1" customFormat="1" x14ac:dyDescent="0.2">
      <c r="B27" t="s">
        <v>42</v>
      </c>
      <c r="C27" s="4">
        <v>0</v>
      </c>
      <c r="D27" s="4">
        <v>0</v>
      </c>
      <c r="E27" s="4">
        <v>0</v>
      </c>
      <c r="F27" s="3">
        <f t="shared" si="9"/>
        <v>0</v>
      </c>
      <c r="H27" s="12" t="s">
        <v>43</v>
      </c>
      <c r="I27" s="13">
        <v>0</v>
      </c>
    </row>
    <row r="28" spans="1:10" s="1" customFormat="1" x14ac:dyDescent="0.2">
      <c r="A28" s="1" t="s">
        <v>44</v>
      </c>
      <c r="C28" s="3">
        <f>C24+C25+C26+C27</f>
        <v>3000</v>
      </c>
      <c r="D28" s="3">
        <f t="shared" ref="D28:E28" si="10">D24+D25+D26+D27</f>
        <v>3500</v>
      </c>
      <c r="E28" s="3">
        <f t="shared" si="10"/>
        <v>3500</v>
      </c>
      <c r="F28" s="3">
        <f t="shared" si="9"/>
        <v>10000</v>
      </c>
      <c r="H28" s="27" t="s">
        <v>26</v>
      </c>
      <c r="I28" s="28">
        <v>0</v>
      </c>
    </row>
    <row r="29" spans="1:10" x14ac:dyDescent="0.2">
      <c r="B29" s="1" t="s">
        <v>45</v>
      </c>
      <c r="C29" s="3">
        <v>0</v>
      </c>
      <c r="D29" s="3">
        <v>0</v>
      </c>
      <c r="E29" s="3">
        <v>0</v>
      </c>
      <c r="F29" s="3">
        <f t="shared" si="9"/>
        <v>0</v>
      </c>
      <c r="H29" s="12" t="s">
        <v>27</v>
      </c>
      <c r="I29" s="13">
        <v>0</v>
      </c>
    </row>
    <row r="30" spans="1:10" x14ac:dyDescent="0.2">
      <c r="B30" s="1" t="s">
        <v>46</v>
      </c>
      <c r="C30" s="3">
        <f xml:space="preserve"> ((I5*I7)+I9)*I12*I13</f>
        <v>7335.9000000000005</v>
      </c>
      <c r="D30" s="3">
        <f xml:space="preserve"> C30 * (1+$I$41)</f>
        <v>7409.2590000000009</v>
      </c>
      <c r="E30" s="3">
        <f xml:space="preserve"> ((J5*J7)+J9)*J12*J13</f>
        <v>7483.5</v>
      </c>
      <c r="F30" s="3">
        <f t="shared" si="9"/>
        <v>22228.659</v>
      </c>
      <c r="H30" s="29" t="s">
        <v>20</v>
      </c>
      <c r="I30" s="30">
        <v>0</v>
      </c>
    </row>
    <row r="31" spans="1:10" x14ac:dyDescent="0.2">
      <c r="A31" s="1" t="s">
        <v>47</v>
      </c>
      <c r="C31" s="3">
        <f>C28+C20+C29+C30</f>
        <v>57008.308715384621</v>
      </c>
      <c r="D31" s="3">
        <f>D28+D20+D29+D30</f>
        <v>58878.589072517534</v>
      </c>
      <c r="E31" s="3">
        <f>E28+E20+E29+E30</f>
        <v>53805.031595025474</v>
      </c>
      <c r="F31" s="3">
        <f t="shared" si="9"/>
        <v>169691.92938292763</v>
      </c>
      <c r="H31" s="12" t="s">
        <v>30</v>
      </c>
      <c r="I31" s="13">
        <v>0</v>
      </c>
    </row>
    <row r="32" spans="1:10" x14ac:dyDescent="0.2">
      <c r="B32" s="5" t="s">
        <v>48</v>
      </c>
      <c r="C32" s="3">
        <f>C28+C20</f>
        <v>49672.408715384619</v>
      </c>
      <c r="D32" s="3">
        <f t="shared" ref="D32:E32" si="11">D28+D20</f>
        <v>51469.330072517536</v>
      </c>
      <c r="E32" s="3">
        <f t="shared" si="11"/>
        <v>46321.531595025474</v>
      </c>
      <c r="F32" s="3">
        <f t="shared" si="9"/>
        <v>147463.27038292761</v>
      </c>
      <c r="H32" s="10"/>
      <c r="I32" s="11"/>
    </row>
    <row r="33" spans="1:10" x14ac:dyDescent="0.2">
      <c r="A33" s="1" t="s">
        <v>49</v>
      </c>
      <c r="C33" s="8"/>
      <c r="D33" s="8"/>
      <c r="E33" s="8"/>
      <c r="F33" s="3">
        <f t="shared" si="9"/>
        <v>0</v>
      </c>
      <c r="G33" s="4"/>
      <c r="H33" s="12" t="s">
        <v>50</v>
      </c>
      <c r="I33" s="13">
        <v>0</v>
      </c>
    </row>
    <row r="34" spans="1:10" x14ac:dyDescent="0.2">
      <c r="B34" t="s">
        <v>51</v>
      </c>
      <c r="C34" s="3">
        <f>C32*$I$39</f>
        <v>26823.100706307698</v>
      </c>
      <c r="D34" s="3">
        <f t="shared" ref="D34:E34" si="12">D32*$I$39</f>
        <v>27793.43823915947</v>
      </c>
      <c r="E34" s="3">
        <f t="shared" si="12"/>
        <v>25013.627061313757</v>
      </c>
      <c r="F34" s="3">
        <f t="shared" si="9"/>
        <v>79630.166006780928</v>
      </c>
      <c r="H34" s="27" t="s">
        <v>26</v>
      </c>
      <c r="I34" s="28">
        <v>0</v>
      </c>
    </row>
    <row r="35" spans="1:10" x14ac:dyDescent="0.2">
      <c r="A35" s="1" t="s">
        <v>52</v>
      </c>
      <c r="C35" s="3">
        <f>C31+C34</f>
        <v>83831.409421692311</v>
      </c>
      <c r="D35" s="3">
        <f>D31+D34</f>
        <v>86672.027311676997</v>
      </c>
      <c r="E35" s="3">
        <f>E31+E34</f>
        <v>78818.658656339234</v>
      </c>
      <c r="F35" s="37">
        <f t="shared" si="9"/>
        <v>249322.09538970853</v>
      </c>
      <c r="H35" s="12" t="s">
        <v>27</v>
      </c>
      <c r="I35" s="13">
        <v>0</v>
      </c>
    </row>
    <row r="36" spans="1:10" x14ac:dyDescent="0.2">
      <c r="H36" s="29" t="s">
        <v>20</v>
      </c>
      <c r="I36" s="30">
        <v>0</v>
      </c>
    </row>
    <row r="37" spans="1:10" x14ac:dyDescent="0.2">
      <c r="D37" s="9"/>
      <c r="E37" s="9"/>
      <c r="H37" s="12" t="s">
        <v>30</v>
      </c>
      <c r="I37" s="13">
        <v>0</v>
      </c>
    </row>
    <row r="38" spans="1:10" x14ac:dyDescent="0.2">
      <c r="C38" s="45" t="s">
        <v>53</v>
      </c>
      <c r="D38" s="45"/>
      <c r="E38" s="45"/>
      <c r="F38" s="34">
        <f>I40</f>
        <v>0.03</v>
      </c>
      <c r="H38" s="35"/>
      <c r="I38" s="36"/>
    </row>
    <row r="39" spans="1:10" x14ac:dyDescent="0.2">
      <c r="B39" s="1"/>
      <c r="C39" s="45" t="s">
        <v>54</v>
      </c>
      <c r="D39" s="45"/>
      <c r="E39" s="45"/>
      <c r="F39" s="34">
        <f>I41</f>
        <v>0.01</v>
      </c>
      <c r="H39" s="12" t="s">
        <v>55</v>
      </c>
      <c r="I39" s="20">
        <v>0.54</v>
      </c>
    </row>
    <row r="40" spans="1:10" x14ac:dyDescent="0.2">
      <c r="B40" s="39"/>
      <c r="C40" s="46"/>
      <c r="D40" s="47"/>
      <c r="E40" s="47"/>
      <c r="F40" s="41"/>
      <c r="H40" s="12" t="s">
        <v>56</v>
      </c>
      <c r="I40" s="20">
        <v>0.03</v>
      </c>
    </row>
    <row r="41" spans="1:10" ht="15" thickBot="1" x14ac:dyDescent="0.25">
      <c r="B41" s="39"/>
      <c r="H41" s="32" t="s">
        <v>57</v>
      </c>
      <c r="I41" s="33">
        <v>0.01</v>
      </c>
    </row>
    <row r="43" spans="1:10" x14ac:dyDescent="0.2">
      <c r="H43" s="12" t="s">
        <v>32</v>
      </c>
      <c r="I43" s="13">
        <v>93535.14</v>
      </c>
    </row>
    <row r="44" spans="1:10" x14ac:dyDescent="0.2">
      <c r="H44" s="12" t="s">
        <v>34</v>
      </c>
      <c r="I44" s="13">
        <v>9</v>
      </c>
      <c r="J44">
        <v>9</v>
      </c>
    </row>
    <row r="45" spans="1:10" x14ac:dyDescent="0.2">
      <c r="H45" s="21" t="s">
        <v>27</v>
      </c>
      <c r="I45" s="22">
        <v>2.2000000000000002</v>
      </c>
      <c r="J45">
        <v>1.1000000000000001</v>
      </c>
    </row>
    <row r="46" spans="1:10" x14ac:dyDescent="0.2">
      <c r="H46" s="31" t="s">
        <v>38</v>
      </c>
      <c r="I46" s="30">
        <v>0.1706</v>
      </c>
      <c r="J46" s="34">
        <v>0.1706</v>
      </c>
    </row>
    <row r="47" spans="1:10" x14ac:dyDescent="0.2">
      <c r="H47" s="12" t="s">
        <v>40</v>
      </c>
      <c r="I47" s="13">
        <f xml:space="preserve"> IF(I44 = 9, I43/19.5, IF(I44 = 12, I43/26,0))</f>
        <v>4796.6738461538462</v>
      </c>
      <c r="J47" s="42">
        <v>5088.67</v>
      </c>
    </row>
  </sheetData>
  <mergeCells count="4">
    <mergeCell ref="H4:I4"/>
    <mergeCell ref="C38:E38"/>
    <mergeCell ref="C39:E39"/>
    <mergeCell ref="C40:E40"/>
  </mergeCells>
  <phoneticPr fontId="0" type="noConversion"/>
  <printOptions horizontalCentered="1"/>
  <pageMargins left="0.5" right="0.5" top="1" bottom="1" header="0.5" footer="0.5"/>
  <pageSetup scale="8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 1</vt:lpstr>
      <vt:lpstr>'budg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VanMiddlesworth</dc:creator>
  <cp:keywords/>
  <dc:description/>
  <cp:lastModifiedBy>Microsoft Office User</cp:lastModifiedBy>
  <cp:revision/>
  <dcterms:created xsi:type="dcterms:W3CDTF">1999-09-16T16:30:32Z</dcterms:created>
  <dcterms:modified xsi:type="dcterms:W3CDTF">2020-07-10T17:26:48Z</dcterms:modified>
  <cp:category/>
  <cp:contentStatus/>
</cp:coreProperties>
</file>