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10" windowHeight="7830" activeTab="3"/>
  </bookViews>
  <sheets>
    <sheet name="PCL-PNa" sheetId="1" r:id="rId1"/>
    <sheet name="PEG-PNa" sheetId="2" r:id="rId2"/>
    <sheet name="PCL-MB" sheetId="3" r:id="rId3"/>
    <sheet name="PEG-MB (2)" sheetId="5" r:id="rId4"/>
    <sheet name="Sheet2" sheetId="6" r:id="rId5"/>
  </sheets>
  <definedNames>
    <definedName name="_xlnm._FilterDatabase" localSheetId="0" hidden="1">'PCL-PNa'!$A$22:$A$29</definedName>
    <definedName name="solver_adj" localSheetId="2" hidden="1">'PCL-MB'!$AC$83:$AC$84</definedName>
    <definedName name="solver_adj" localSheetId="0" hidden="1">'PCL-PNa'!$AJ$50:$AJ$51</definedName>
    <definedName name="solver_adj" localSheetId="3" hidden="1">'PEG-MB (2)'!$AK$50:$AK$52</definedName>
    <definedName name="solver_adj" localSheetId="1" hidden="1">'PEG-PNa'!$AJ$93:$AJ$94</definedName>
    <definedName name="solver_cvg" localSheetId="2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itr" localSheetId="2" hidden="1">2147483647</definedName>
    <definedName name="solver_itr" localSheetId="0" hidden="1">100</definedName>
    <definedName name="solver_itr" localSheetId="3" hidden="1">2147483647</definedName>
    <definedName name="solver_itr" localSheetId="1" hidden="1">2147483647</definedName>
    <definedName name="solver_lhs1" localSheetId="2" hidden="1">'PCL-MB'!$AD$52</definedName>
    <definedName name="solver_lhs1" localSheetId="1" hidden="1">'PEG-PNa'!$F$51</definedName>
    <definedName name="solver_lhs2" localSheetId="2" hidden="1">'PCL-MB'!$AD$52</definedName>
    <definedName name="solver_lhs2" localSheetId="1" hidden="1">'PEG-PNa'!$R$51</definedName>
    <definedName name="solver_lin" localSheetId="0" hidden="1">2</definedName>
    <definedName name="solver_mip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0" hidden="1">2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3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opt" localSheetId="2" hidden="1">'PCL-MB'!$AD$87</definedName>
    <definedName name="solver_opt" localSheetId="0" hidden="1">'PCL-PNa'!$AK$74</definedName>
    <definedName name="solver_opt" localSheetId="3" hidden="1">'PEG-MB (2)'!$AL$48</definedName>
    <definedName name="solver_opt" localSheetId="1" hidden="1">'PEG-PNa'!$AK$117</definedName>
    <definedName name="solver_pre" localSheetId="2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el1" localSheetId="2" hidden="1">3</definedName>
    <definedName name="solver_rel1" localSheetId="1" hidden="1">1</definedName>
    <definedName name="solver_rel2" localSheetId="2" hidden="1">3</definedName>
    <definedName name="solver_rel2" localSheetId="1" hidden="1">1</definedName>
    <definedName name="solver_rhs1" localSheetId="2" hidden="1">0.500000001</definedName>
    <definedName name="solver_rhs1" localSheetId="1" hidden="1">1</definedName>
    <definedName name="solver_rhs2" localSheetId="2" hidden="1">0.500000001</definedName>
    <definedName name="solver_rhs2" localSheetId="1" hidden="1">1.0000000000001</definedName>
    <definedName name="solver_rlx" localSheetId="2" hidden="1">2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0" hidden="1">2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0" hidden="1">100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0" hidden="1">0.05</definedName>
    <definedName name="solver_tol" localSheetId="3" hidden="1">0.01</definedName>
    <definedName name="solver_tol" localSheetId="1" hidden="1">0.01</definedName>
    <definedName name="solver_typ" localSheetId="2" hidden="1">3</definedName>
    <definedName name="solver_typ" localSheetId="0" hidden="1">3</definedName>
    <definedName name="solver_typ" localSheetId="3" hidden="1">3</definedName>
    <definedName name="solver_typ" localSheetId="1" hidden="1">3</definedName>
    <definedName name="solver_val" localSheetId="2" hidden="1">0.0000000000000000001</definedName>
    <definedName name="solver_val" localSheetId="0" hidden="1">0.0000000000000000001</definedName>
    <definedName name="solver_val" localSheetId="3" hidden="1">0.0000000000000000001</definedName>
    <definedName name="solver_val" localSheetId="1" hidden="1">0.0000000000000000001</definedName>
    <definedName name="solver_ver" localSheetId="2" hidden="1">3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AK72" i="5" l="1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73" i="5" s="1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73" i="5" s="1"/>
  <c r="S5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73" i="3" s="1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73" i="3" s="1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73" i="2" s="1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73" i="2" s="1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G50" i="2"/>
  <c r="G51" i="2"/>
  <c r="G52" i="2"/>
  <c r="G74" i="2" s="1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93" i="2"/>
  <c r="G94" i="2"/>
  <c r="G117" i="2" s="1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73" i="1" s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AJ51" i="5" l="1"/>
  <c r="AL51" i="5" s="1"/>
  <c r="AJ52" i="5"/>
  <c r="AL52" i="5" s="1"/>
  <c r="AJ53" i="5"/>
  <c r="AL53" i="5" s="1"/>
  <c r="AJ54" i="5"/>
  <c r="AL54" i="5" s="1"/>
  <c r="AJ55" i="5"/>
  <c r="AL55" i="5" s="1"/>
  <c r="AJ56" i="5"/>
  <c r="AL56" i="5" s="1"/>
  <c r="AJ57" i="5"/>
  <c r="AL57" i="5" s="1"/>
  <c r="AJ58" i="5"/>
  <c r="AL58" i="5" s="1"/>
  <c r="AJ59" i="5"/>
  <c r="AL59" i="5" s="1"/>
  <c r="AJ60" i="5"/>
  <c r="AL60" i="5" s="1"/>
  <c r="AJ61" i="5"/>
  <c r="AL61" i="5" s="1"/>
  <c r="AJ62" i="5"/>
  <c r="AL62" i="5" s="1"/>
  <c r="AJ63" i="5"/>
  <c r="AL63" i="5" s="1"/>
  <c r="AJ64" i="5"/>
  <c r="AL64" i="5" s="1"/>
  <c r="AJ65" i="5"/>
  <c r="AL65" i="5" s="1"/>
  <c r="AJ66" i="5"/>
  <c r="AL66" i="5" s="1"/>
  <c r="AJ67" i="5"/>
  <c r="AL67" i="5" s="1"/>
  <c r="AJ68" i="5"/>
  <c r="AL68" i="5" s="1"/>
  <c r="AJ69" i="5"/>
  <c r="AL69" i="5" s="1"/>
  <c r="AJ70" i="5"/>
  <c r="AL70" i="5" s="1"/>
  <c r="AJ71" i="5"/>
  <c r="AL71" i="5" s="1"/>
  <c r="AJ72" i="5"/>
  <c r="AL72" i="5" s="1"/>
  <c r="AJ73" i="5"/>
  <c r="AL73" i="5" s="1"/>
  <c r="AJ74" i="5"/>
  <c r="AL74" i="5" s="1"/>
  <c r="AJ75" i="5"/>
  <c r="AL75" i="5" s="1"/>
  <c r="AJ76" i="5"/>
  <c r="AL76" i="5" s="1"/>
  <c r="AJ50" i="5"/>
  <c r="B3" i="5"/>
  <c r="C3" i="5"/>
  <c r="D3" i="5" s="1"/>
  <c r="E3" i="5" s="1"/>
  <c r="F3" i="5" s="1"/>
  <c r="H3" i="5"/>
  <c r="I3" i="5" s="1"/>
  <c r="J3" i="5" s="1"/>
  <c r="K3" i="5" s="1"/>
  <c r="L3" i="5" s="1"/>
  <c r="N3" i="5"/>
  <c r="O3" i="5"/>
  <c r="P3" i="5" s="1"/>
  <c r="Q3" i="5" s="1"/>
  <c r="R3" i="5" s="1"/>
  <c r="T3" i="5"/>
  <c r="U3" i="5" s="1"/>
  <c r="V3" i="5" s="1"/>
  <c r="W3" i="5" s="1"/>
  <c r="X3" i="5" s="1"/>
  <c r="Z3" i="5"/>
  <c r="AA3" i="5"/>
  <c r="AB3" i="5" s="1"/>
  <c r="AC3" i="5" s="1"/>
  <c r="AD3" i="5" s="1"/>
  <c r="AF3" i="5"/>
  <c r="AG3" i="5" s="1"/>
  <c r="AH3" i="5" s="1"/>
  <c r="AI3" i="5" s="1"/>
  <c r="AJ3" i="5" s="1"/>
  <c r="AM3" i="5"/>
  <c r="B4" i="5"/>
  <c r="C4" i="5"/>
  <c r="D4" i="5" s="1"/>
  <c r="E4" i="5" s="1"/>
  <c r="F4" i="5" s="1"/>
  <c r="H4" i="5"/>
  <c r="I4" i="5" s="1"/>
  <c r="J4" i="5" s="1"/>
  <c r="K4" i="5" s="1"/>
  <c r="L4" i="5" s="1"/>
  <c r="N4" i="5"/>
  <c r="O4" i="5"/>
  <c r="P4" i="5" s="1"/>
  <c r="Q4" i="5" s="1"/>
  <c r="R4" i="5" s="1"/>
  <c r="T4" i="5"/>
  <c r="U4" i="5" s="1"/>
  <c r="V4" i="5" s="1"/>
  <c r="W4" i="5" s="1"/>
  <c r="X4" i="5" s="1"/>
  <c r="AA4" i="5"/>
  <c r="AB4" i="5"/>
  <c r="AC4" i="5" s="1"/>
  <c r="AD4" i="5" s="1"/>
  <c r="AG4" i="5"/>
  <c r="AH4" i="5"/>
  <c r="AI4" i="5" s="1"/>
  <c r="AJ4" i="5" s="1"/>
  <c r="AM4" i="5"/>
  <c r="C5" i="5"/>
  <c r="D5" i="5" s="1"/>
  <c r="E5" i="5" s="1"/>
  <c r="F5" i="5" s="1"/>
  <c r="H5" i="5"/>
  <c r="I5" i="5" s="1"/>
  <c r="J5" i="5" s="1"/>
  <c r="K5" i="5" s="1"/>
  <c r="L5" i="5" s="1"/>
  <c r="O5" i="5"/>
  <c r="P5" i="5"/>
  <c r="Q5" i="5" s="1"/>
  <c r="R5" i="5" s="1"/>
  <c r="U5" i="5"/>
  <c r="V5" i="5"/>
  <c r="W5" i="5" s="1"/>
  <c r="X5" i="5" s="1"/>
  <c r="AA5" i="5"/>
  <c r="AB5" i="5" s="1"/>
  <c r="AC5" i="5" s="1"/>
  <c r="AD5" i="5" s="1"/>
  <c r="AG5" i="5"/>
  <c r="AH5" i="5" s="1"/>
  <c r="AI5" i="5" s="1"/>
  <c r="AJ5" i="5" s="1"/>
  <c r="AM5" i="5"/>
  <c r="B6" i="5"/>
  <c r="C6" i="5"/>
  <c r="D6" i="5" s="1"/>
  <c r="E6" i="5" s="1"/>
  <c r="F6" i="5" s="1"/>
  <c r="H6" i="5"/>
  <c r="I6" i="5" s="1"/>
  <c r="J6" i="5" s="1"/>
  <c r="K6" i="5" s="1"/>
  <c r="L6" i="5" s="1"/>
  <c r="N6" i="5"/>
  <c r="O6" i="5"/>
  <c r="P6" i="5" s="1"/>
  <c r="Q6" i="5" s="1"/>
  <c r="R6" i="5" s="1"/>
  <c r="T6" i="5"/>
  <c r="U6" i="5" s="1"/>
  <c r="V6" i="5" s="1"/>
  <c r="W6" i="5" s="1"/>
  <c r="X6" i="5" s="1"/>
  <c r="Z6" i="5"/>
  <c r="AA6" i="5"/>
  <c r="AB6" i="5" s="1"/>
  <c r="AC6" i="5" s="1"/>
  <c r="AD6" i="5" s="1"/>
  <c r="AF6" i="5"/>
  <c r="AG6" i="5" s="1"/>
  <c r="AH6" i="5" s="1"/>
  <c r="AI6" i="5" s="1"/>
  <c r="AJ6" i="5" s="1"/>
  <c r="AM6" i="5"/>
  <c r="B7" i="5"/>
  <c r="C7" i="5" s="1"/>
  <c r="D7" i="5" s="1"/>
  <c r="E7" i="5" s="1"/>
  <c r="F7" i="5" s="1"/>
  <c r="H7" i="5"/>
  <c r="I7" i="5"/>
  <c r="J7" i="5" s="1"/>
  <c r="K7" i="5" s="1"/>
  <c r="L7" i="5" s="1"/>
  <c r="N7" i="5"/>
  <c r="O7" i="5" s="1"/>
  <c r="P7" i="5" s="1"/>
  <c r="Q7" i="5" s="1"/>
  <c r="R7" i="5" s="1"/>
  <c r="T7" i="5"/>
  <c r="U7" i="5"/>
  <c r="V7" i="5" s="1"/>
  <c r="W7" i="5" s="1"/>
  <c r="X7" i="5" s="1"/>
  <c r="Z7" i="5"/>
  <c r="AA7" i="5" s="1"/>
  <c r="AB7" i="5" s="1"/>
  <c r="AC7" i="5" s="1"/>
  <c r="AD7" i="5" s="1"/>
  <c r="AF7" i="5"/>
  <c r="AG7" i="5"/>
  <c r="AH7" i="5" s="1"/>
  <c r="AI7" i="5" s="1"/>
  <c r="AJ7" i="5" s="1"/>
  <c r="AM7" i="5"/>
  <c r="B8" i="5"/>
  <c r="C8" i="5"/>
  <c r="D8" i="5" s="1"/>
  <c r="E8" i="5" s="1"/>
  <c r="F8" i="5" s="1"/>
  <c r="H8" i="5"/>
  <c r="I8" i="5" s="1"/>
  <c r="J8" i="5" s="1"/>
  <c r="K8" i="5" s="1"/>
  <c r="L8" i="5" s="1"/>
  <c r="N8" i="5"/>
  <c r="O8" i="5"/>
  <c r="P8" i="5" s="1"/>
  <c r="Q8" i="5" s="1"/>
  <c r="R8" i="5" s="1"/>
  <c r="U8" i="5"/>
  <c r="V8" i="5" s="1"/>
  <c r="W8" i="5" s="1"/>
  <c r="X8" i="5" s="1"/>
  <c r="Z8" i="5"/>
  <c r="AA8" i="5" s="1"/>
  <c r="AB8" i="5" s="1"/>
  <c r="AC8" i="5" s="1"/>
  <c r="AD8" i="5" s="1"/>
  <c r="AG8" i="5"/>
  <c r="AH8" i="5"/>
  <c r="AI8" i="5" s="1"/>
  <c r="AJ8" i="5" s="1"/>
  <c r="AM8" i="5"/>
  <c r="C9" i="5"/>
  <c r="D9" i="5" s="1"/>
  <c r="E9" i="5" s="1"/>
  <c r="F9" i="5" s="1"/>
  <c r="H9" i="5"/>
  <c r="I9" i="5" s="1"/>
  <c r="J9" i="5" s="1"/>
  <c r="K9" i="5" s="1"/>
  <c r="L9" i="5" s="1"/>
  <c r="O9" i="5"/>
  <c r="P9" i="5"/>
  <c r="Q9" i="5" s="1"/>
  <c r="R9" i="5" s="1"/>
  <c r="U9" i="5"/>
  <c r="V9" i="5"/>
  <c r="W9" i="5" s="1"/>
  <c r="X9" i="5" s="1"/>
  <c r="Z9" i="5"/>
  <c r="AA9" i="5"/>
  <c r="AB9" i="5" s="1"/>
  <c r="AC9" i="5" s="1"/>
  <c r="AD9" i="5" s="1"/>
  <c r="AF9" i="5"/>
  <c r="AG9" i="5" s="1"/>
  <c r="AH9" i="5" s="1"/>
  <c r="AI9" i="5" s="1"/>
  <c r="AJ9" i="5" s="1"/>
  <c r="AM9" i="5"/>
  <c r="B10" i="5"/>
  <c r="C10" i="5" s="1"/>
  <c r="D10" i="5" s="1"/>
  <c r="E10" i="5" s="1"/>
  <c r="F10" i="5" s="1"/>
  <c r="H10" i="5"/>
  <c r="I10" i="5"/>
  <c r="J10" i="5" s="1"/>
  <c r="K10" i="5" s="1"/>
  <c r="L10" i="5" s="1"/>
  <c r="N10" i="5"/>
  <c r="O10" i="5" s="1"/>
  <c r="P10" i="5" s="1"/>
  <c r="Q10" i="5" s="1"/>
  <c r="R10" i="5" s="1"/>
  <c r="T10" i="5"/>
  <c r="U10" i="5"/>
  <c r="V10" i="5" s="1"/>
  <c r="W10" i="5" s="1"/>
  <c r="X10" i="5" s="1"/>
  <c r="Z10" i="5"/>
  <c r="AA10" i="5" s="1"/>
  <c r="AB10" i="5" s="1"/>
  <c r="AC10" i="5" s="1"/>
  <c r="AD10" i="5" s="1"/>
  <c r="AF10" i="5"/>
  <c r="AG10" i="5"/>
  <c r="AH10" i="5" s="1"/>
  <c r="AI10" i="5" s="1"/>
  <c r="AJ10" i="5" s="1"/>
  <c r="AM10" i="5"/>
  <c r="B11" i="5"/>
  <c r="C11" i="5" s="1"/>
  <c r="D11" i="5" s="1"/>
  <c r="E11" i="5" s="1"/>
  <c r="F11" i="5" s="1"/>
  <c r="H11" i="5"/>
  <c r="I11" i="5"/>
  <c r="J11" i="5" s="1"/>
  <c r="K11" i="5" s="1"/>
  <c r="L11" i="5" s="1"/>
  <c r="N11" i="5"/>
  <c r="O11" i="5" s="1"/>
  <c r="P11" i="5" s="1"/>
  <c r="Q11" i="5" s="1"/>
  <c r="R11" i="5" s="1"/>
  <c r="T11" i="5"/>
  <c r="U11" i="5"/>
  <c r="V11" i="5" s="1"/>
  <c r="W11" i="5" s="1"/>
  <c r="X11" i="5" s="1"/>
  <c r="Z11" i="5"/>
  <c r="AA11" i="5" s="1"/>
  <c r="AB11" i="5" s="1"/>
  <c r="AC11" i="5" s="1"/>
  <c r="AD11" i="5" s="1"/>
  <c r="AF11" i="5"/>
  <c r="AG11" i="5"/>
  <c r="AH11" i="5" s="1"/>
  <c r="AI11" i="5" s="1"/>
  <c r="AJ11" i="5" s="1"/>
  <c r="AM11" i="5"/>
  <c r="B12" i="5"/>
  <c r="C12" i="5"/>
  <c r="D12" i="5" s="1"/>
  <c r="E12" i="5" s="1"/>
  <c r="F12" i="5" s="1"/>
  <c r="H12" i="5"/>
  <c r="I12" i="5" s="1"/>
  <c r="J12" i="5" s="1"/>
  <c r="K12" i="5" s="1"/>
  <c r="L12" i="5" s="1"/>
  <c r="N12" i="5"/>
  <c r="O12" i="5"/>
  <c r="P12" i="5" s="1"/>
  <c r="Q12" i="5" s="1"/>
  <c r="R12" i="5" s="1"/>
  <c r="T12" i="5"/>
  <c r="U12" i="5" s="1"/>
  <c r="V12" i="5" s="1"/>
  <c r="W12" i="5" s="1"/>
  <c r="X12" i="5" s="1"/>
  <c r="Z12" i="5"/>
  <c r="AA12" i="5"/>
  <c r="AB12" i="5" s="1"/>
  <c r="AC12" i="5" s="1"/>
  <c r="AD12" i="5" s="1"/>
  <c r="AF12" i="5"/>
  <c r="AG12" i="5" s="1"/>
  <c r="AH12" i="5" s="1"/>
  <c r="AI12" i="5" s="1"/>
  <c r="AJ12" i="5" s="1"/>
  <c r="AM12" i="5"/>
  <c r="B13" i="5"/>
  <c r="C13" i="5" s="1"/>
  <c r="D13" i="5" s="1"/>
  <c r="E13" i="5" s="1"/>
  <c r="F13" i="5" s="1"/>
  <c r="H13" i="5"/>
  <c r="I13" i="5"/>
  <c r="J13" i="5" s="1"/>
  <c r="K13" i="5" s="1"/>
  <c r="L13" i="5" s="1"/>
  <c r="N13" i="5"/>
  <c r="O13" i="5" s="1"/>
  <c r="P13" i="5" s="1"/>
  <c r="Q13" i="5" s="1"/>
  <c r="T13" i="5"/>
  <c r="U13" i="5"/>
  <c r="V13" i="5" s="1"/>
  <c r="W13" i="5" s="1"/>
  <c r="X13" i="5" s="1"/>
  <c r="Z13" i="5"/>
  <c r="AA13" i="5" s="1"/>
  <c r="AB13" i="5" s="1"/>
  <c r="AC13" i="5" s="1"/>
  <c r="AD13" i="5" s="1"/>
  <c r="AF13" i="5"/>
  <c r="AG13" i="5"/>
  <c r="AH13" i="5" s="1"/>
  <c r="AI13" i="5" s="1"/>
  <c r="AJ13" i="5" s="1"/>
  <c r="AM13" i="5"/>
  <c r="B14" i="5"/>
  <c r="C14" i="5"/>
  <c r="D14" i="5" s="1"/>
  <c r="H14" i="5"/>
  <c r="I14" i="5" s="1"/>
  <c r="J14" i="5" s="1"/>
  <c r="K14" i="5" s="1"/>
  <c r="L14" i="5" s="1"/>
  <c r="N14" i="5"/>
  <c r="O14" i="5"/>
  <c r="P14" i="5" s="1"/>
  <c r="Q14" i="5" s="1"/>
  <c r="T14" i="5"/>
  <c r="U14" i="5" s="1"/>
  <c r="V14" i="5" s="1"/>
  <c r="W14" i="5" s="1"/>
  <c r="X14" i="5" s="1"/>
  <c r="Z14" i="5"/>
  <c r="AA14" i="5"/>
  <c r="AB14" i="5" s="1"/>
  <c r="AF14" i="5"/>
  <c r="AG14" i="5" s="1"/>
  <c r="AH14" i="5" s="1"/>
  <c r="AI14" i="5" s="1"/>
  <c r="AJ14" i="5" s="1"/>
  <c r="AM14" i="5"/>
  <c r="B15" i="5"/>
  <c r="C15" i="5" s="1"/>
  <c r="D15" i="5" s="1"/>
  <c r="E15" i="5" s="1"/>
  <c r="H15" i="5"/>
  <c r="I15" i="5"/>
  <c r="J15" i="5" s="1"/>
  <c r="K15" i="5" s="1"/>
  <c r="L15" i="5" s="1"/>
  <c r="N15" i="5"/>
  <c r="O15" i="5" s="1"/>
  <c r="P15" i="5" s="1"/>
  <c r="T15" i="5"/>
  <c r="U15" i="5"/>
  <c r="V15" i="5" s="1"/>
  <c r="W15" i="5" s="1"/>
  <c r="X15" i="5" s="1"/>
  <c r="Z15" i="5"/>
  <c r="AA15" i="5" s="1"/>
  <c r="AB15" i="5" s="1"/>
  <c r="AC15" i="5" s="1"/>
  <c r="AF15" i="5"/>
  <c r="AG15" i="5"/>
  <c r="AH15" i="5" s="1"/>
  <c r="AI15" i="5" s="1"/>
  <c r="AJ15" i="5" s="1"/>
  <c r="AM15" i="5"/>
  <c r="B16" i="5"/>
  <c r="C16" i="5"/>
  <c r="D16" i="5" s="1"/>
  <c r="H16" i="5"/>
  <c r="I16" i="5" s="1"/>
  <c r="J16" i="5" s="1"/>
  <c r="K16" i="5" s="1"/>
  <c r="L16" i="5" s="1"/>
  <c r="N16" i="5"/>
  <c r="O16" i="5"/>
  <c r="P16" i="5" s="1"/>
  <c r="T16" i="5"/>
  <c r="U16" i="5" s="1"/>
  <c r="V16" i="5" s="1"/>
  <c r="W16" i="5" s="1"/>
  <c r="X16" i="5" s="1"/>
  <c r="Z16" i="5"/>
  <c r="AA16" i="5"/>
  <c r="AB16" i="5" s="1"/>
  <c r="AF16" i="5"/>
  <c r="AG16" i="5" s="1"/>
  <c r="AH16" i="5" s="1"/>
  <c r="AI16" i="5" s="1"/>
  <c r="AJ16" i="5" s="1"/>
  <c r="AM16" i="5"/>
  <c r="B17" i="5"/>
  <c r="C17" i="5" s="1"/>
  <c r="D17" i="5" s="1"/>
  <c r="E17" i="5" s="1"/>
  <c r="H17" i="5"/>
  <c r="I17" i="5"/>
  <c r="J17" i="5" s="1"/>
  <c r="K17" i="5" s="1"/>
  <c r="L17" i="5" s="1"/>
  <c r="N17" i="5"/>
  <c r="O17" i="5" s="1"/>
  <c r="P17" i="5"/>
  <c r="Q17" i="5" s="1"/>
  <c r="T17" i="5"/>
  <c r="U17" i="5"/>
  <c r="V17" i="5" s="1"/>
  <c r="W17" i="5"/>
  <c r="X17" i="5" s="1"/>
  <c r="Z17" i="5"/>
  <c r="AA17" i="5" s="1"/>
  <c r="AB17" i="5"/>
  <c r="AC17" i="5" s="1"/>
  <c r="AF17" i="5"/>
  <c r="AG17" i="5"/>
  <c r="AH17" i="5" s="1"/>
  <c r="AI17" i="5"/>
  <c r="AJ17" i="5" s="1"/>
  <c r="AM17" i="5"/>
  <c r="C18" i="5"/>
  <c r="D18" i="5" s="1"/>
  <c r="E18" i="5" s="1"/>
  <c r="I18" i="5"/>
  <c r="J18" i="5" s="1"/>
  <c r="K18" i="5" s="1"/>
  <c r="L18" i="5" s="1"/>
  <c r="O18" i="5"/>
  <c r="P18" i="5" s="1"/>
  <c r="Q18" i="5" s="1"/>
  <c r="U18" i="5"/>
  <c r="V18" i="5" s="1"/>
  <c r="W18" i="5" s="1"/>
  <c r="X18" i="5" s="1"/>
  <c r="AA18" i="5"/>
  <c r="AB18" i="5" s="1"/>
  <c r="AC18" i="5" s="1"/>
  <c r="AG18" i="5"/>
  <c r="AH18" i="5" s="1"/>
  <c r="AI18" i="5" s="1"/>
  <c r="AJ18" i="5" s="1"/>
  <c r="AM18" i="5"/>
  <c r="C19" i="5"/>
  <c r="D19" i="5"/>
  <c r="E19" i="5" s="1"/>
  <c r="I19" i="5"/>
  <c r="J19" i="5"/>
  <c r="K19" i="5" s="1"/>
  <c r="L19" i="5" s="1"/>
  <c r="O19" i="5"/>
  <c r="P19" i="5"/>
  <c r="Q19" i="5" s="1"/>
  <c r="U19" i="5"/>
  <c r="V19" i="5"/>
  <c r="W19" i="5" s="1"/>
  <c r="X19" i="5" s="1"/>
  <c r="AA19" i="5"/>
  <c r="AB19" i="5"/>
  <c r="AC19" i="5" s="1"/>
  <c r="AG19" i="5"/>
  <c r="AH19" i="5"/>
  <c r="AI19" i="5" s="1"/>
  <c r="AJ19" i="5" s="1"/>
  <c r="AM19" i="5"/>
  <c r="C20" i="5"/>
  <c r="D20" i="5" s="1"/>
  <c r="E20" i="5" s="1"/>
  <c r="I20" i="5"/>
  <c r="J20" i="5" s="1"/>
  <c r="K20" i="5" s="1"/>
  <c r="L20" i="5" s="1"/>
  <c r="O20" i="5"/>
  <c r="P20" i="5" s="1"/>
  <c r="Q20" i="5" s="1"/>
  <c r="U20" i="5"/>
  <c r="V20" i="5" s="1"/>
  <c r="W20" i="5" s="1"/>
  <c r="X20" i="5" s="1"/>
  <c r="AA20" i="5"/>
  <c r="AB20" i="5" s="1"/>
  <c r="AC20" i="5" s="1"/>
  <c r="AG20" i="5"/>
  <c r="AH20" i="5" s="1"/>
  <c r="AI20" i="5" s="1"/>
  <c r="AJ20" i="5" s="1"/>
  <c r="AM20" i="5"/>
  <c r="C21" i="5"/>
  <c r="D21" i="5"/>
  <c r="E21" i="5" s="1"/>
  <c r="I21" i="5"/>
  <c r="J21" i="5"/>
  <c r="K21" i="5" s="1"/>
  <c r="L21" i="5" s="1"/>
  <c r="O21" i="5"/>
  <c r="P21" i="5"/>
  <c r="Q21" i="5" s="1"/>
  <c r="U21" i="5"/>
  <c r="V21" i="5"/>
  <c r="W21" i="5" s="1"/>
  <c r="X21" i="5" s="1"/>
  <c r="AA21" i="5"/>
  <c r="AB21" i="5"/>
  <c r="AC21" i="5" s="1"/>
  <c r="AG21" i="5"/>
  <c r="AH21" i="5"/>
  <c r="AI21" i="5" s="1"/>
  <c r="AJ21" i="5" s="1"/>
  <c r="AM21" i="5"/>
  <c r="C22" i="5"/>
  <c r="D22" i="5" s="1"/>
  <c r="E22" i="5" s="1"/>
  <c r="I22" i="5"/>
  <c r="J22" i="5" s="1"/>
  <c r="K22" i="5" s="1"/>
  <c r="O22" i="5"/>
  <c r="P22" i="5" s="1"/>
  <c r="Q22" i="5" s="1"/>
  <c r="U22" i="5"/>
  <c r="V22" i="5" s="1"/>
  <c r="W22" i="5" s="1"/>
  <c r="AA22" i="5"/>
  <c r="AB22" i="5" s="1"/>
  <c r="AC22" i="5" s="1"/>
  <c r="AG22" i="5"/>
  <c r="AH22" i="5" s="1"/>
  <c r="AI22" i="5" s="1"/>
  <c r="AM22" i="5"/>
  <c r="C23" i="5"/>
  <c r="D23" i="5"/>
  <c r="E23" i="5" s="1"/>
  <c r="I23" i="5"/>
  <c r="J23" i="5"/>
  <c r="K23" i="5" s="1"/>
  <c r="O23" i="5"/>
  <c r="P23" i="5"/>
  <c r="Q23" i="5" s="1"/>
  <c r="U23" i="5"/>
  <c r="V23" i="5"/>
  <c r="W23" i="5" s="1"/>
  <c r="AA23" i="5"/>
  <c r="AB23" i="5"/>
  <c r="AC23" i="5" s="1"/>
  <c r="AG23" i="5"/>
  <c r="AH23" i="5"/>
  <c r="AI23" i="5" s="1"/>
  <c r="AM23" i="5"/>
  <c r="C24" i="5"/>
  <c r="D24" i="5" s="1"/>
  <c r="E24" i="5" s="1"/>
  <c r="I24" i="5"/>
  <c r="J24" i="5" s="1"/>
  <c r="O24" i="5"/>
  <c r="P24" i="5" s="1"/>
  <c r="Q24" i="5" s="1"/>
  <c r="U24" i="5"/>
  <c r="V24" i="5" s="1"/>
  <c r="W24" i="5" s="1"/>
  <c r="AA24" i="5"/>
  <c r="AB24" i="5" s="1"/>
  <c r="AC24" i="5" s="1"/>
  <c r="AG24" i="5"/>
  <c r="AH24" i="5" s="1"/>
  <c r="AI24" i="5" s="1"/>
  <c r="AM24" i="5"/>
  <c r="C25" i="5"/>
  <c r="D25" i="5"/>
  <c r="E25" i="5" s="1"/>
  <c r="I25" i="5"/>
  <c r="J25" i="5"/>
  <c r="O25" i="5"/>
  <c r="P25" i="5"/>
  <c r="Q25" i="5" s="1"/>
  <c r="U25" i="5"/>
  <c r="V25" i="5"/>
  <c r="W25" i="5" s="1"/>
  <c r="AA25" i="5"/>
  <c r="AB25" i="5"/>
  <c r="AC25" i="5" s="1"/>
  <c r="AG25" i="5"/>
  <c r="AH25" i="5"/>
  <c r="AI25" i="5" s="1"/>
  <c r="AM25" i="5"/>
  <c r="C26" i="5"/>
  <c r="D26" i="5" s="1"/>
  <c r="E26" i="5" s="1"/>
  <c r="I26" i="5"/>
  <c r="J26" i="5" s="1"/>
  <c r="K26" i="5" s="1"/>
  <c r="O26" i="5"/>
  <c r="P26" i="5" s="1"/>
  <c r="Q26" i="5" s="1"/>
  <c r="U26" i="5"/>
  <c r="V26" i="5" s="1"/>
  <c r="W26" i="5" s="1"/>
  <c r="AA26" i="5"/>
  <c r="AB26" i="5" s="1"/>
  <c r="AC26" i="5" s="1"/>
  <c r="AG26" i="5"/>
  <c r="AH26" i="5" s="1"/>
  <c r="AI26" i="5" s="1"/>
  <c r="AM26" i="5"/>
  <c r="C27" i="5"/>
  <c r="D27" i="5"/>
  <c r="E27" i="5" s="1"/>
  <c r="I27" i="5"/>
  <c r="J27" i="5"/>
  <c r="K27" i="5" s="1"/>
  <c r="O27" i="5"/>
  <c r="P27" i="5"/>
  <c r="Q27" i="5" s="1"/>
  <c r="U27" i="5"/>
  <c r="V27" i="5"/>
  <c r="W27" i="5" s="1"/>
  <c r="AA27" i="5"/>
  <c r="AB27" i="5"/>
  <c r="AC27" i="5" s="1"/>
  <c r="AG27" i="5"/>
  <c r="AH27" i="5"/>
  <c r="AI27" i="5" s="1"/>
  <c r="AM27" i="5"/>
  <c r="C28" i="5"/>
  <c r="D28" i="5" s="1"/>
  <c r="E28" i="5" s="1"/>
  <c r="I28" i="5"/>
  <c r="J28" i="5" s="1"/>
  <c r="K28" i="5" s="1"/>
  <c r="O28" i="5"/>
  <c r="P28" i="5" s="1"/>
  <c r="Q28" i="5" s="1"/>
  <c r="U28" i="5"/>
  <c r="V28" i="5" s="1"/>
  <c r="AA28" i="5"/>
  <c r="AB28" i="5" s="1"/>
  <c r="AC28" i="5" s="1"/>
  <c r="AG28" i="5"/>
  <c r="AH28" i="5" s="1"/>
  <c r="AI28" i="5" s="1"/>
  <c r="AM28" i="5"/>
  <c r="C29" i="5"/>
  <c r="D29" i="5"/>
  <c r="E29" i="5" s="1"/>
  <c r="I29" i="5"/>
  <c r="J29" i="5"/>
  <c r="K29" i="5" s="1"/>
  <c r="O29" i="5"/>
  <c r="P29" i="5"/>
  <c r="Q29" i="5" s="1"/>
  <c r="U29" i="5"/>
  <c r="V29" i="5"/>
  <c r="W29" i="5" s="1"/>
  <c r="AA29" i="5"/>
  <c r="AB29" i="5"/>
  <c r="AC29" i="5" s="1"/>
  <c r="AG29" i="5"/>
  <c r="AH29" i="5"/>
  <c r="AI29" i="5" s="1"/>
  <c r="AM29" i="5"/>
  <c r="E50" i="5"/>
  <c r="G50" i="5"/>
  <c r="K50" i="5"/>
  <c r="M50" i="5"/>
  <c r="Q50" i="5"/>
  <c r="W50" i="5"/>
  <c r="Y50" i="5"/>
  <c r="AC50" i="5"/>
  <c r="AE50" i="5"/>
  <c r="AL50" i="5"/>
  <c r="E51" i="5"/>
  <c r="G51" i="5"/>
  <c r="K51" i="5"/>
  <c r="M51" i="5"/>
  <c r="Q51" i="5"/>
  <c r="W51" i="5"/>
  <c r="Y51" i="5"/>
  <c r="AC51" i="5"/>
  <c r="AE51" i="5"/>
  <c r="E52" i="5"/>
  <c r="G52" i="5"/>
  <c r="K52" i="5"/>
  <c r="M52" i="5"/>
  <c r="Q52" i="5"/>
  <c r="W52" i="5"/>
  <c r="Y52" i="5"/>
  <c r="AC52" i="5"/>
  <c r="AE52" i="5"/>
  <c r="E53" i="5"/>
  <c r="G53" i="5"/>
  <c r="K53" i="5"/>
  <c r="M53" i="5"/>
  <c r="Q53" i="5"/>
  <c r="W53" i="5"/>
  <c r="Y53" i="5"/>
  <c r="AC53" i="5"/>
  <c r="AE53" i="5"/>
  <c r="E54" i="5"/>
  <c r="G54" i="5"/>
  <c r="K54" i="5"/>
  <c r="M54" i="5"/>
  <c r="Q54" i="5"/>
  <c r="W54" i="5"/>
  <c r="Y54" i="5"/>
  <c r="AC54" i="5"/>
  <c r="AE54" i="5" s="1"/>
  <c r="E55" i="5"/>
  <c r="G55" i="5" s="1"/>
  <c r="K55" i="5"/>
  <c r="M55" i="5" s="1"/>
  <c r="Q55" i="5"/>
  <c r="W55" i="5"/>
  <c r="Y55" i="5" s="1"/>
  <c r="AC55" i="5"/>
  <c r="AE55" i="5" s="1"/>
  <c r="E56" i="5"/>
  <c r="G56" i="5" s="1"/>
  <c r="K56" i="5"/>
  <c r="M56" i="5" s="1"/>
  <c r="Q56" i="5"/>
  <c r="W56" i="5"/>
  <c r="Y56" i="5" s="1"/>
  <c r="AC56" i="5"/>
  <c r="AE56" i="5" s="1"/>
  <c r="E57" i="5"/>
  <c r="G57" i="5" s="1"/>
  <c r="K57" i="5"/>
  <c r="M57" i="5" s="1"/>
  <c r="Q57" i="5"/>
  <c r="W57" i="5"/>
  <c r="Y57" i="5" s="1"/>
  <c r="AC57" i="5"/>
  <c r="AE57" i="5" s="1"/>
  <c r="E58" i="5"/>
  <c r="G58" i="5" s="1"/>
  <c r="K58" i="5"/>
  <c r="M58" i="5" s="1"/>
  <c r="Q58" i="5"/>
  <c r="W58" i="5"/>
  <c r="Y58" i="5" s="1"/>
  <c r="AC58" i="5"/>
  <c r="AE58" i="5" s="1"/>
  <c r="E59" i="5"/>
  <c r="G59" i="5" s="1"/>
  <c r="K59" i="5"/>
  <c r="M59" i="5" s="1"/>
  <c r="Q59" i="5"/>
  <c r="W59" i="5"/>
  <c r="Y59" i="5" s="1"/>
  <c r="AC59" i="5"/>
  <c r="AE59" i="5" s="1"/>
  <c r="E60" i="5"/>
  <c r="G60" i="5" s="1"/>
  <c r="K60" i="5"/>
  <c r="M60" i="5" s="1"/>
  <c r="Q60" i="5"/>
  <c r="W60" i="5"/>
  <c r="Y60" i="5" s="1"/>
  <c r="AC60" i="5"/>
  <c r="AE60" i="5" s="1"/>
  <c r="E61" i="5"/>
  <c r="G61" i="5" s="1"/>
  <c r="K61" i="5"/>
  <c r="M61" i="5" s="1"/>
  <c r="Q61" i="5"/>
  <c r="W61" i="5"/>
  <c r="Y61" i="5" s="1"/>
  <c r="AC61" i="5"/>
  <c r="AE61" i="5" s="1"/>
  <c r="E62" i="5"/>
  <c r="G62" i="5" s="1"/>
  <c r="K62" i="5"/>
  <c r="M62" i="5" s="1"/>
  <c r="Q62" i="5"/>
  <c r="W62" i="5"/>
  <c r="Y62" i="5" s="1"/>
  <c r="AC62" i="5"/>
  <c r="AE62" i="5" s="1"/>
  <c r="E63" i="5"/>
  <c r="G63" i="5" s="1"/>
  <c r="K63" i="5"/>
  <c r="M63" i="5" s="1"/>
  <c r="Q63" i="5"/>
  <c r="W63" i="5"/>
  <c r="Y63" i="5" s="1"/>
  <c r="AC63" i="5"/>
  <c r="AE63" i="5" s="1"/>
  <c r="E64" i="5"/>
  <c r="G64" i="5" s="1"/>
  <c r="K64" i="5"/>
  <c r="M64" i="5" s="1"/>
  <c r="Q64" i="5"/>
  <c r="W64" i="5"/>
  <c r="Y64" i="5" s="1"/>
  <c r="AC64" i="5"/>
  <c r="AE64" i="5" s="1"/>
  <c r="E65" i="5"/>
  <c r="G65" i="5" s="1"/>
  <c r="K65" i="5"/>
  <c r="M65" i="5" s="1"/>
  <c r="Q65" i="5"/>
  <c r="W65" i="5"/>
  <c r="Y65" i="5" s="1"/>
  <c r="AC65" i="5"/>
  <c r="AE65" i="5" s="1"/>
  <c r="E66" i="5"/>
  <c r="G66" i="5" s="1"/>
  <c r="K66" i="5"/>
  <c r="M66" i="5" s="1"/>
  <c r="Q66" i="5"/>
  <c r="W66" i="5"/>
  <c r="Y66" i="5" s="1"/>
  <c r="AC66" i="5"/>
  <c r="AE66" i="5" s="1"/>
  <c r="E67" i="5"/>
  <c r="G67" i="5" s="1"/>
  <c r="G71" i="5" s="1"/>
  <c r="K67" i="5"/>
  <c r="M67" i="5" s="1"/>
  <c r="Q67" i="5"/>
  <c r="W67" i="5"/>
  <c r="Y67" i="5" s="1"/>
  <c r="AC67" i="5"/>
  <c r="AE67" i="5" s="1"/>
  <c r="E68" i="5"/>
  <c r="G68" i="5" s="1"/>
  <c r="K68" i="5"/>
  <c r="M68" i="5" s="1"/>
  <c r="Q68" i="5"/>
  <c r="W68" i="5"/>
  <c r="Y68" i="5" s="1"/>
  <c r="AC68" i="5"/>
  <c r="AE68" i="5" s="1"/>
  <c r="E69" i="5"/>
  <c r="G69" i="5" s="1"/>
  <c r="K69" i="5"/>
  <c r="M69" i="5" s="1"/>
  <c r="Q69" i="5"/>
  <c r="W69" i="5"/>
  <c r="Y69" i="5" s="1"/>
  <c r="AC69" i="5"/>
  <c r="AE69" i="5" s="1"/>
  <c r="E70" i="5"/>
  <c r="G70" i="5"/>
  <c r="K70" i="5"/>
  <c r="M70" i="5"/>
  <c r="Q70" i="5"/>
  <c r="W70" i="5"/>
  <c r="Y70" i="5"/>
  <c r="AC70" i="5"/>
  <c r="AE70" i="5"/>
  <c r="M71" i="5"/>
  <c r="Q71" i="5"/>
  <c r="W71" i="5"/>
  <c r="Y71" i="5"/>
  <c r="AC71" i="5"/>
  <c r="AE71" i="5"/>
  <c r="W72" i="5"/>
  <c r="Y72" i="5" s="1"/>
  <c r="AC72" i="5"/>
  <c r="AE72" i="5" s="1"/>
  <c r="W73" i="5"/>
  <c r="Y73" i="5" s="1"/>
  <c r="AC73" i="5"/>
  <c r="AE73" i="5" s="1"/>
  <c r="W74" i="5"/>
  <c r="Y74" i="5" s="1"/>
  <c r="AC74" i="5"/>
  <c r="AE74" i="5" s="1"/>
  <c r="W75" i="5"/>
  <c r="Y75" i="5" s="1"/>
  <c r="AC75" i="5"/>
  <c r="AE75" i="5" s="1"/>
  <c r="W76" i="5"/>
  <c r="Y76" i="5" s="1"/>
  <c r="AC76" i="5"/>
  <c r="AE76" i="5" s="1"/>
  <c r="E91" i="5"/>
  <c r="G91" i="5"/>
  <c r="K91" i="5"/>
  <c r="M91" i="5"/>
  <c r="Q91" i="5"/>
  <c r="W91" i="5"/>
  <c r="Y91" i="5"/>
  <c r="AC91" i="5"/>
  <c r="AE91" i="5"/>
  <c r="AJ91" i="5"/>
  <c r="AL91" i="5" s="1"/>
  <c r="E92" i="5"/>
  <c r="G92" i="5"/>
  <c r="K92" i="5"/>
  <c r="M92" i="5"/>
  <c r="Q92" i="5"/>
  <c r="W92" i="5"/>
  <c r="Y92" i="5"/>
  <c r="AC92" i="5"/>
  <c r="AE92" i="5"/>
  <c r="AJ92" i="5"/>
  <c r="AL92" i="5" s="1"/>
  <c r="E93" i="5"/>
  <c r="G93" i="5"/>
  <c r="K93" i="5"/>
  <c r="M93" i="5"/>
  <c r="Q93" i="5"/>
  <c r="W93" i="5"/>
  <c r="Y93" i="5"/>
  <c r="AC93" i="5"/>
  <c r="AE93" i="5"/>
  <c r="AJ93" i="5"/>
  <c r="AL93" i="5" s="1"/>
  <c r="E94" i="5"/>
  <c r="G94" i="5"/>
  <c r="K94" i="5"/>
  <c r="M94" i="5"/>
  <c r="Q94" i="5"/>
  <c r="W94" i="5"/>
  <c r="Y94" i="5"/>
  <c r="AC94" i="5"/>
  <c r="AE94" i="5"/>
  <c r="AJ94" i="5"/>
  <c r="AL94" i="5" s="1"/>
  <c r="E95" i="5"/>
  <c r="G95" i="5"/>
  <c r="K95" i="5"/>
  <c r="M95" i="5"/>
  <c r="Q95" i="5"/>
  <c r="W95" i="5"/>
  <c r="Y95" i="5"/>
  <c r="AC95" i="5"/>
  <c r="AE95" i="5"/>
  <c r="AJ95" i="5"/>
  <c r="AL95" i="5"/>
  <c r="E96" i="5"/>
  <c r="G96" i="5"/>
  <c r="K96" i="5"/>
  <c r="M96" i="5"/>
  <c r="Q96" i="5"/>
  <c r="W96" i="5"/>
  <c r="Y96" i="5"/>
  <c r="AC96" i="5"/>
  <c r="AE96" i="5"/>
  <c r="AJ96" i="5"/>
  <c r="AL96" i="5" s="1"/>
  <c r="E97" i="5"/>
  <c r="G97" i="5"/>
  <c r="K97" i="5"/>
  <c r="M97" i="5"/>
  <c r="Q97" i="5"/>
  <c r="W97" i="5"/>
  <c r="Y97" i="5"/>
  <c r="AC97" i="5"/>
  <c r="AE97" i="5"/>
  <c r="AJ97" i="5"/>
  <c r="AL97" i="5"/>
  <c r="E98" i="5"/>
  <c r="G98" i="5"/>
  <c r="K98" i="5"/>
  <c r="M98" i="5"/>
  <c r="Q98" i="5"/>
  <c r="W98" i="5"/>
  <c r="Y98" i="5"/>
  <c r="AC98" i="5"/>
  <c r="AE98" i="5"/>
  <c r="AJ98" i="5"/>
  <c r="AL98" i="5"/>
  <c r="E99" i="5"/>
  <c r="G99" i="5"/>
  <c r="K99" i="5"/>
  <c r="M99" i="5"/>
  <c r="Q99" i="5"/>
  <c r="W99" i="5"/>
  <c r="Y99" i="5"/>
  <c r="AC99" i="5"/>
  <c r="AE99" i="5" s="1"/>
  <c r="AJ99" i="5"/>
  <c r="AL99" i="5" s="1"/>
  <c r="E100" i="5"/>
  <c r="G100" i="5" s="1"/>
  <c r="K100" i="5"/>
  <c r="M100" i="5" s="1"/>
  <c r="Q100" i="5"/>
  <c r="W100" i="5"/>
  <c r="Y100" i="5" s="1"/>
  <c r="AC100" i="5"/>
  <c r="AE100" i="5"/>
  <c r="AJ100" i="5"/>
  <c r="AL100" i="5"/>
  <c r="E101" i="5"/>
  <c r="G101" i="5"/>
  <c r="K101" i="5"/>
  <c r="M101" i="5"/>
  <c r="Q101" i="5"/>
  <c r="W101" i="5"/>
  <c r="Y101" i="5" s="1"/>
  <c r="AC101" i="5"/>
  <c r="AE101" i="5" s="1"/>
  <c r="AJ101" i="5"/>
  <c r="AL101" i="5" s="1"/>
  <c r="E102" i="5"/>
  <c r="G102" i="5" s="1"/>
  <c r="K102" i="5"/>
  <c r="M102" i="5" s="1"/>
  <c r="Q102" i="5"/>
  <c r="W102" i="5"/>
  <c r="Y102" i="5" s="1"/>
  <c r="AC102" i="5"/>
  <c r="AE102" i="5" s="1"/>
  <c r="AJ102" i="5"/>
  <c r="AL102" i="5" s="1"/>
  <c r="E103" i="5"/>
  <c r="G103" i="5" s="1"/>
  <c r="K103" i="5"/>
  <c r="M103" i="5" s="1"/>
  <c r="Q103" i="5"/>
  <c r="W103" i="5"/>
  <c r="Y103" i="5" s="1"/>
  <c r="AC103" i="5"/>
  <c r="AE103" i="5" s="1"/>
  <c r="AJ103" i="5"/>
  <c r="AL103" i="5" s="1"/>
  <c r="E104" i="5"/>
  <c r="G104" i="5" s="1"/>
  <c r="K104" i="5"/>
  <c r="M104" i="5" s="1"/>
  <c r="Q104" i="5"/>
  <c r="W104" i="5"/>
  <c r="Y104" i="5" s="1"/>
  <c r="AC104" i="5"/>
  <c r="AE104" i="5" s="1"/>
  <c r="AJ104" i="5"/>
  <c r="AL104" i="5" s="1"/>
  <c r="E105" i="5"/>
  <c r="G105" i="5" s="1"/>
  <c r="K105" i="5"/>
  <c r="M105" i="5" s="1"/>
  <c r="Q105" i="5"/>
  <c r="W105" i="5"/>
  <c r="Y105" i="5" s="1"/>
  <c r="AC105" i="5"/>
  <c r="AE105" i="5" s="1"/>
  <c r="AJ105" i="5"/>
  <c r="AL105" i="5" s="1"/>
  <c r="E106" i="5"/>
  <c r="G106" i="5" s="1"/>
  <c r="K106" i="5"/>
  <c r="M106" i="5" s="1"/>
  <c r="Q106" i="5"/>
  <c r="W106" i="5"/>
  <c r="Y106" i="5" s="1"/>
  <c r="AC106" i="5"/>
  <c r="AE106" i="5" s="1"/>
  <c r="AJ106" i="5"/>
  <c r="AL106" i="5" s="1"/>
  <c r="E107" i="5"/>
  <c r="G107" i="5" s="1"/>
  <c r="K107" i="5"/>
  <c r="M107" i="5" s="1"/>
  <c r="Q107" i="5"/>
  <c r="W107" i="5"/>
  <c r="Y107" i="5" s="1"/>
  <c r="AC107" i="5"/>
  <c r="AE107" i="5" s="1"/>
  <c r="AJ107" i="5"/>
  <c r="AL107" i="5" s="1"/>
  <c r="E108" i="5"/>
  <c r="G108" i="5" s="1"/>
  <c r="K108" i="5"/>
  <c r="M108" i="5" s="1"/>
  <c r="Q108" i="5"/>
  <c r="W108" i="5"/>
  <c r="Y108" i="5" s="1"/>
  <c r="AC108" i="5"/>
  <c r="AE108" i="5" s="1"/>
  <c r="AJ108" i="5"/>
  <c r="AL108" i="5" s="1"/>
  <c r="E109" i="5"/>
  <c r="G109" i="5" s="1"/>
  <c r="K109" i="5"/>
  <c r="M109" i="5" s="1"/>
  <c r="Q109" i="5"/>
  <c r="W109" i="5"/>
  <c r="Y109" i="5" s="1"/>
  <c r="AC109" i="5"/>
  <c r="AE109" i="5" s="1"/>
  <c r="AJ109" i="5"/>
  <c r="AL109" i="5" s="1"/>
  <c r="E110" i="5"/>
  <c r="G110" i="5" s="1"/>
  <c r="K110" i="5"/>
  <c r="M110" i="5" s="1"/>
  <c r="Q110" i="5"/>
  <c r="W110" i="5"/>
  <c r="Y110" i="5" s="1"/>
  <c r="AC110" i="5"/>
  <c r="AE110" i="5" s="1"/>
  <c r="AJ110" i="5"/>
  <c r="AL110" i="5" s="1"/>
  <c r="E111" i="5"/>
  <c r="G111" i="5" s="1"/>
  <c r="K111" i="5"/>
  <c r="M111" i="5" s="1"/>
  <c r="Q111" i="5"/>
  <c r="W111" i="5"/>
  <c r="Y111" i="5" s="1"/>
  <c r="AC111" i="5"/>
  <c r="AE111" i="5" s="1"/>
  <c r="AJ111" i="5"/>
  <c r="AL111" i="5" s="1"/>
  <c r="Q112" i="5"/>
  <c r="W112" i="5"/>
  <c r="Y112" i="5" s="1"/>
  <c r="AC112" i="5"/>
  <c r="AE112" i="5" s="1"/>
  <c r="AJ112" i="5"/>
  <c r="AL112" i="5" s="1"/>
  <c r="W113" i="5"/>
  <c r="Y113" i="5"/>
  <c r="AC113" i="5"/>
  <c r="AE113" i="5"/>
  <c r="AJ113" i="5"/>
  <c r="AL113" i="5"/>
  <c r="W114" i="5"/>
  <c r="Y114" i="5"/>
  <c r="AC114" i="5"/>
  <c r="AE114" i="5"/>
  <c r="AJ114" i="5"/>
  <c r="AL114" i="5"/>
  <c r="W115" i="5"/>
  <c r="Y115" i="5"/>
  <c r="AC115" i="5"/>
  <c r="AE115" i="5"/>
  <c r="AJ115" i="5"/>
  <c r="AL115" i="5"/>
  <c r="W116" i="5"/>
  <c r="Y116" i="5"/>
  <c r="AC116" i="5"/>
  <c r="AE116" i="5"/>
  <c r="AJ116" i="5"/>
  <c r="AL116" i="5"/>
  <c r="W117" i="5"/>
  <c r="Y117" i="5"/>
  <c r="AC117" i="5"/>
  <c r="AE117" i="5"/>
  <c r="AJ117" i="5"/>
  <c r="AL117" i="5"/>
  <c r="G112" i="5" l="1"/>
  <c r="M112" i="5"/>
  <c r="AL89" i="5"/>
  <c r="AE89" i="5"/>
  <c r="Y89" i="5"/>
  <c r="AL48" i="5"/>
  <c r="AE48" i="5"/>
  <c r="Y48" i="5"/>
  <c r="W28" i="5"/>
  <c r="K24" i="5"/>
  <c r="AJ22" i="5"/>
  <c r="X22" i="5"/>
  <c r="L22" i="5"/>
  <c r="K25" i="5"/>
  <c r="AJ23" i="5"/>
  <c r="AJ24" i="5" s="1"/>
  <c r="AJ25" i="5" s="1"/>
  <c r="AJ26" i="5" s="1"/>
  <c r="AJ27" i="5" s="1"/>
  <c r="AJ28" i="5" s="1"/>
  <c r="AJ29" i="5" s="1"/>
  <c r="X23" i="5"/>
  <c r="X24" i="5" s="1"/>
  <c r="X25" i="5" s="1"/>
  <c r="X26" i="5" s="1"/>
  <c r="X27" i="5" s="1"/>
  <c r="L23" i="5"/>
  <c r="AC16" i="5"/>
  <c r="E16" i="5"/>
  <c r="Q15" i="5"/>
  <c r="AC14" i="5"/>
  <c r="AD14" i="5" s="1"/>
  <c r="E14" i="5"/>
  <c r="F14" i="5" s="1"/>
  <c r="F15" i="5" s="1"/>
  <c r="R13" i="5"/>
  <c r="Q16" i="5"/>
  <c r="AD15" i="5"/>
  <c r="R14" i="5"/>
  <c r="R15" i="5" l="1"/>
  <c r="AD16" i="5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L24" i="5"/>
  <c r="R16" i="5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F16" i="5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L25" i="5"/>
  <c r="L26" i="5" s="1"/>
  <c r="L27" i="5" s="1"/>
  <c r="L28" i="5" s="1"/>
  <c r="L29" i="5" s="1"/>
  <c r="X28" i="5"/>
  <c r="X29" i="5" s="1"/>
  <c r="AB84" i="3" l="1"/>
  <c r="AD84" i="3" s="1"/>
  <c r="AB85" i="3"/>
  <c r="AD85" i="3" s="1"/>
  <c r="AB86" i="3"/>
  <c r="AD86" i="3" s="1"/>
  <c r="AI85" i="3"/>
  <c r="AI86" i="3"/>
  <c r="AI87" i="3"/>
  <c r="AI88" i="3"/>
  <c r="AI89" i="3"/>
  <c r="AI90" i="3"/>
  <c r="AI91" i="3"/>
  <c r="AI92" i="3"/>
  <c r="AI84" i="3"/>
  <c r="AB83" i="3"/>
  <c r="AD83" i="3" s="1"/>
  <c r="V84" i="3"/>
  <c r="X84" i="3" s="1"/>
  <c r="V85" i="3"/>
  <c r="X85" i="3" s="1"/>
  <c r="V86" i="3"/>
  <c r="X86" i="3" s="1"/>
  <c r="V87" i="3"/>
  <c r="X87" i="3" s="1"/>
  <c r="V88" i="3"/>
  <c r="X88" i="3" s="1"/>
  <c r="V89" i="3"/>
  <c r="X89" i="3" s="1"/>
  <c r="V90" i="3"/>
  <c r="X90" i="3" s="1"/>
  <c r="V91" i="3"/>
  <c r="X91" i="3" s="1"/>
  <c r="V83" i="3"/>
  <c r="X83" i="3" s="1"/>
  <c r="AD87" i="3" l="1"/>
  <c r="X92" i="3"/>
  <c r="AI51" i="3" l="1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50" i="3"/>
  <c r="W51" i="3"/>
  <c r="Y51" i="3" s="1"/>
  <c r="W52" i="3"/>
  <c r="Y52" i="3" s="1"/>
  <c r="W53" i="3"/>
  <c r="W54" i="3"/>
  <c r="Y54" i="3" s="1"/>
  <c r="W55" i="3"/>
  <c r="Y55" i="3" s="1"/>
  <c r="W56" i="3"/>
  <c r="Y56" i="3" s="1"/>
  <c r="W57" i="3"/>
  <c r="W58" i="3"/>
  <c r="Y58" i="3" s="1"/>
  <c r="W59" i="3"/>
  <c r="Y59" i="3" s="1"/>
  <c r="W60" i="3"/>
  <c r="Y60" i="3" s="1"/>
  <c r="W61" i="3"/>
  <c r="W62" i="3"/>
  <c r="Y62" i="3" s="1"/>
  <c r="W63" i="3"/>
  <c r="Y63" i="3" s="1"/>
  <c r="W64" i="3"/>
  <c r="Y64" i="3" s="1"/>
  <c r="W65" i="3"/>
  <c r="W66" i="3"/>
  <c r="Y66" i="3" s="1"/>
  <c r="W67" i="3"/>
  <c r="Y67" i="3" s="1"/>
  <c r="W68" i="3"/>
  <c r="Y68" i="3" s="1"/>
  <c r="W69" i="3"/>
  <c r="W70" i="3"/>
  <c r="Y70" i="3" s="1"/>
  <c r="W71" i="3"/>
  <c r="Y71" i="3" s="1"/>
  <c r="W72" i="3"/>
  <c r="Y72" i="3" s="1"/>
  <c r="W73" i="3"/>
  <c r="W74" i="3"/>
  <c r="Y74" i="3" s="1"/>
  <c r="W75" i="3"/>
  <c r="Y75" i="3" s="1"/>
  <c r="W76" i="3"/>
  <c r="Y76" i="3" s="1"/>
  <c r="W50" i="3"/>
  <c r="Y50" i="3" s="1"/>
  <c r="Y53" i="3"/>
  <c r="Y57" i="3"/>
  <c r="Y61" i="3"/>
  <c r="Y65" i="3"/>
  <c r="Y69" i="3"/>
  <c r="Y73" i="3"/>
  <c r="AC51" i="3"/>
  <c r="AE51" i="3" s="1"/>
  <c r="AC52" i="3"/>
  <c r="AE52" i="3" s="1"/>
  <c r="AC53" i="3"/>
  <c r="AE53" i="3" s="1"/>
  <c r="AC54" i="3"/>
  <c r="AE54" i="3" s="1"/>
  <c r="AC55" i="3"/>
  <c r="AE55" i="3" s="1"/>
  <c r="AC56" i="3"/>
  <c r="AE56" i="3" s="1"/>
  <c r="AC57" i="3"/>
  <c r="AE57" i="3" s="1"/>
  <c r="AC58" i="3"/>
  <c r="AE58" i="3" s="1"/>
  <c r="AC59" i="3"/>
  <c r="AE59" i="3" s="1"/>
  <c r="AC60" i="3"/>
  <c r="AE60" i="3" s="1"/>
  <c r="AC61" i="3"/>
  <c r="AE61" i="3" s="1"/>
  <c r="AC62" i="3"/>
  <c r="AE62" i="3" s="1"/>
  <c r="AC63" i="3"/>
  <c r="AE63" i="3" s="1"/>
  <c r="AC64" i="3"/>
  <c r="AE64" i="3" s="1"/>
  <c r="AC65" i="3"/>
  <c r="AE65" i="3" s="1"/>
  <c r="AC66" i="3"/>
  <c r="AE66" i="3" s="1"/>
  <c r="AC67" i="3"/>
  <c r="AE67" i="3" s="1"/>
  <c r="AC68" i="3"/>
  <c r="AE68" i="3" s="1"/>
  <c r="AC69" i="3"/>
  <c r="AE69" i="3" s="1"/>
  <c r="AC70" i="3"/>
  <c r="AE70" i="3" s="1"/>
  <c r="AC71" i="3"/>
  <c r="AE71" i="3" s="1"/>
  <c r="AC72" i="3"/>
  <c r="AE72" i="3" s="1"/>
  <c r="AC73" i="3"/>
  <c r="AE73" i="3" s="1"/>
  <c r="AC74" i="3"/>
  <c r="AE74" i="3" s="1"/>
  <c r="AC75" i="3"/>
  <c r="AE75" i="3" s="1"/>
  <c r="AC76" i="3"/>
  <c r="AE76" i="3" s="1"/>
  <c r="AC50" i="3"/>
  <c r="AE50" i="3" s="1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50" i="3"/>
  <c r="K55" i="3"/>
  <c r="M55" i="3" s="1"/>
  <c r="K56" i="3"/>
  <c r="M56" i="3" s="1"/>
  <c r="K57" i="3"/>
  <c r="M57" i="3" s="1"/>
  <c r="K58" i="3"/>
  <c r="M58" i="3" s="1"/>
  <c r="K59" i="3"/>
  <c r="M59" i="3" s="1"/>
  <c r="K60" i="3"/>
  <c r="M60" i="3" s="1"/>
  <c r="K61" i="3"/>
  <c r="M61" i="3" s="1"/>
  <c r="K62" i="3"/>
  <c r="M62" i="3" s="1"/>
  <c r="K63" i="3"/>
  <c r="M63" i="3" s="1"/>
  <c r="K64" i="3"/>
  <c r="M64" i="3" s="1"/>
  <c r="K65" i="3"/>
  <c r="M65" i="3" s="1"/>
  <c r="K51" i="3"/>
  <c r="M51" i="3" s="1"/>
  <c r="K52" i="3"/>
  <c r="M52" i="3" s="1"/>
  <c r="K53" i="3"/>
  <c r="M53" i="3" s="1"/>
  <c r="K54" i="3"/>
  <c r="M54" i="3" s="1"/>
  <c r="K50" i="3"/>
  <c r="M50" i="3" s="1"/>
  <c r="M66" i="3" s="1"/>
  <c r="E51" i="3"/>
  <c r="G51" i="3" s="1"/>
  <c r="E52" i="3"/>
  <c r="G52" i="3" s="1"/>
  <c r="E53" i="3"/>
  <c r="G53" i="3" s="1"/>
  <c r="E54" i="3"/>
  <c r="G54" i="3" s="1"/>
  <c r="E55" i="3"/>
  <c r="G55" i="3" s="1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50" i="3"/>
  <c r="G50" i="3" s="1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93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51" i="2"/>
  <c r="AI52" i="2"/>
  <c r="AI53" i="2"/>
  <c r="AI54" i="2"/>
  <c r="AI50" i="2"/>
  <c r="AC94" i="2"/>
  <c r="AE94" i="2" s="1"/>
  <c r="AC95" i="2"/>
  <c r="AE95" i="2" s="1"/>
  <c r="AC96" i="2"/>
  <c r="AE96" i="2" s="1"/>
  <c r="AC97" i="2"/>
  <c r="AE97" i="2" s="1"/>
  <c r="AC98" i="2"/>
  <c r="AE98" i="2" s="1"/>
  <c r="AC99" i="2"/>
  <c r="AE99" i="2" s="1"/>
  <c r="AC100" i="2"/>
  <c r="AE100" i="2" s="1"/>
  <c r="AC101" i="2"/>
  <c r="AE101" i="2" s="1"/>
  <c r="AC102" i="2"/>
  <c r="AE102" i="2" s="1"/>
  <c r="AC103" i="2"/>
  <c r="AE103" i="2" s="1"/>
  <c r="AC104" i="2"/>
  <c r="AE104" i="2" s="1"/>
  <c r="AC105" i="2"/>
  <c r="AE105" i="2" s="1"/>
  <c r="AC106" i="2"/>
  <c r="AE106" i="2" s="1"/>
  <c r="AC107" i="2"/>
  <c r="AE107" i="2" s="1"/>
  <c r="AC108" i="2"/>
  <c r="AE108" i="2" s="1"/>
  <c r="AC109" i="2"/>
  <c r="AE109" i="2" s="1"/>
  <c r="AC110" i="2"/>
  <c r="AE110" i="2" s="1"/>
  <c r="AC111" i="2"/>
  <c r="AE111" i="2" s="1"/>
  <c r="AC112" i="2"/>
  <c r="AE112" i="2" s="1"/>
  <c r="AC113" i="2"/>
  <c r="AE113" i="2" s="1"/>
  <c r="AC114" i="2"/>
  <c r="AE114" i="2" s="1"/>
  <c r="AC115" i="2"/>
  <c r="AE115" i="2" s="1"/>
  <c r="AC116" i="2"/>
  <c r="AE116" i="2" s="1"/>
  <c r="AC93" i="2"/>
  <c r="AE93" i="2" s="1"/>
  <c r="AC51" i="2"/>
  <c r="AE51" i="2" s="1"/>
  <c r="AC52" i="2"/>
  <c r="AE52" i="2" s="1"/>
  <c r="AC53" i="2"/>
  <c r="AE53" i="2" s="1"/>
  <c r="AC54" i="2"/>
  <c r="AE54" i="2" s="1"/>
  <c r="AC55" i="2"/>
  <c r="AE55" i="2" s="1"/>
  <c r="AC56" i="2"/>
  <c r="AE56" i="2" s="1"/>
  <c r="AC57" i="2"/>
  <c r="AE57" i="2" s="1"/>
  <c r="AC58" i="2"/>
  <c r="AE58" i="2" s="1"/>
  <c r="AC59" i="2"/>
  <c r="AE59" i="2" s="1"/>
  <c r="AC60" i="2"/>
  <c r="AE60" i="2" s="1"/>
  <c r="AC61" i="2"/>
  <c r="AE61" i="2" s="1"/>
  <c r="AC62" i="2"/>
  <c r="AE62" i="2" s="1"/>
  <c r="AC63" i="2"/>
  <c r="AE63" i="2" s="1"/>
  <c r="AC64" i="2"/>
  <c r="AE64" i="2" s="1"/>
  <c r="AC65" i="2"/>
  <c r="AE65" i="2" s="1"/>
  <c r="AC66" i="2"/>
  <c r="AE66" i="2" s="1"/>
  <c r="AC67" i="2"/>
  <c r="AE67" i="2" s="1"/>
  <c r="AC68" i="2"/>
  <c r="AE68" i="2" s="1"/>
  <c r="AC69" i="2"/>
  <c r="AE69" i="2" s="1"/>
  <c r="AC70" i="2"/>
  <c r="AE70" i="2" s="1"/>
  <c r="AC71" i="2"/>
  <c r="AE71" i="2" s="1"/>
  <c r="AC72" i="2"/>
  <c r="AE72" i="2" s="1"/>
  <c r="AC73" i="2"/>
  <c r="AE73" i="2" s="1"/>
  <c r="AC50" i="2"/>
  <c r="AE50" i="2" s="1"/>
  <c r="W94" i="2"/>
  <c r="Y94" i="2" s="1"/>
  <c r="W95" i="2"/>
  <c r="Y95" i="2" s="1"/>
  <c r="W96" i="2"/>
  <c r="Y96" i="2" s="1"/>
  <c r="W97" i="2"/>
  <c r="Y97" i="2" s="1"/>
  <c r="W98" i="2"/>
  <c r="Y98" i="2" s="1"/>
  <c r="W99" i="2"/>
  <c r="Y99" i="2" s="1"/>
  <c r="W100" i="2"/>
  <c r="Y100" i="2" s="1"/>
  <c r="W101" i="2"/>
  <c r="Y101" i="2" s="1"/>
  <c r="W102" i="2"/>
  <c r="Y102" i="2" s="1"/>
  <c r="W103" i="2"/>
  <c r="Y103" i="2" s="1"/>
  <c r="W104" i="2"/>
  <c r="Y104" i="2" s="1"/>
  <c r="W105" i="2"/>
  <c r="Y105" i="2" s="1"/>
  <c r="W106" i="2"/>
  <c r="Y106" i="2" s="1"/>
  <c r="W107" i="2"/>
  <c r="Y107" i="2" s="1"/>
  <c r="W108" i="2"/>
  <c r="Y108" i="2" s="1"/>
  <c r="W109" i="2"/>
  <c r="Y109" i="2" s="1"/>
  <c r="W110" i="2"/>
  <c r="Y110" i="2" s="1"/>
  <c r="W111" i="2"/>
  <c r="Y111" i="2" s="1"/>
  <c r="W112" i="2"/>
  <c r="Y112" i="2" s="1"/>
  <c r="W113" i="2"/>
  <c r="Y113" i="2" s="1"/>
  <c r="W114" i="2"/>
  <c r="Y114" i="2" s="1"/>
  <c r="W115" i="2"/>
  <c r="Y115" i="2" s="1"/>
  <c r="W116" i="2"/>
  <c r="Y116" i="2" s="1"/>
  <c r="W93" i="2"/>
  <c r="Y93" i="2" s="1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93" i="2"/>
  <c r="K94" i="2"/>
  <c r="M94" i="2" s="1"/>
  <c r="K95" i="2"/>
  <c r="M95" i="2" s="1"/>
  <c r="K96" i="2"/>
  <c r="K97" i="2"/>
  <c r="M97" i="2" s="1"/>
  <c r="K98" i="2"/>
  <c r="M98" i="2" s="1"/>
  <c r="K99" i="2"/>
  <c r="M99" i="2" s="1"/>
  <c r="K100" i="2"/>
  <c r="K101" i="2"/>
  <c r="M101" i="2" s="1"/>
  <c r="K102" i="2"/>
  <c r="M102" i="2" s="1"/>
  <c r="K103" i="2"/>
  <c r="M103" i="2" s="1"/>
  <c r="K104" i="2"/>
  <c r="K105" i="2"/>
  <c r="M105" i="2" s="1"/>
  <c r="K106" i="2"/>
  <c r="M106" i="2" s="1"/>
  <c r="K107" i="2"/>
  <c r="M107" i="2" s="1"/>
  <c r="K108" i="2"/>
  <c r="K109" i="2"/>
  <c r="M109" i="2" s="1"/>
  <c r="K110" i="2"/>
  <c r="M110" i="2" s="1"/>
  <c r="K111" i="2"/>
  <c r="M111" i="2" s="1"/>
  <c r="K112" i="2"/>
  <c r="K113" i="2"/>
  <c r="M113" i="2" s="1"/>
  <c r="K114" i="2"/>
  <c r="M114" i="2" s="1"/>
  <c r="K115" i="2"/>
  <c r="M115" i="2" s="1"/>
  <c r="K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93" i="2"/>
  <c r="M96" i="2"/>
  <c r="M100" i="2"/>
  <c r="M104" i="2"/>
  <c r="M108" i="2"/>
  <c r="M112" i="2"/>
  <c r="M93" i="2"/>
  <c r="W51" i="2"/>
  <c r="Y51" i="2" s="1"/>
  <c r="W52" i="2"/>
  <c r="Y52" i="2" s="1"/>
  <c r="W53" i="2"/>
  <c r="Y53" i="2" s="1"/>
  <c r="W54" i="2"/>
  <c r="Y54" i="2" s="1"/>
  <c r="W55" i="2"/>
  <c r="Y55" i="2" s="1"/>
  <c r="W56" i="2"/>
  <c r="Y56" i="2" s="1"/>
  <c r="W57" i="2"/>
  <c r="Y57" i="2" s="1"/>
  <c r="W58" i="2"/>
  <c r="Y58" i="2" s="1"/>
  <c r="W59" i="2"/>
  <c r="Y59" i="2" s="1"/>
  <c r="W60" i="2"/>
  <c r="Y60" i="2" s="1"/>
  <c r="W61" i="2"/>
  <c r="Y61" i="2" s="1"/>
  <c r="W62" i="2"/>
  <c r="Y62" i="2" s="1"/>
  <c r="W63" i="2"/>
  <c r="Y63" i="2" s="1"/>
  <c r="W64" i="2"/>
  <c r="Y64" i="2" s="1"/>
  <c r="W65" i="2"/>
  <c r="Y65" i="2" s="1"/>
  <c r="W66" i="2"/>
  <c r="Y66" i="2" s="1"/>
  <c r="W67" i="2"/>
  <c r="Y67" i="2" s="1"/>
  <c r="W68" i="2"/>
  <c r="Y68" i="2" s="1"/>
  <c r="W69" i="2"/>
  <c r="Y69" i="2" s="1"/>
  <c r="W70" i="2"/>
  <c r="Y70" i="2" s="1"/>
  <c r="W71" i="2"/>
  <c r="Y71" i="2" s="1"/>
  <c r="W72" i="2"/>
  <c r="Y72" i="2" s="1"/>
  <c r="W73" i="2"/>
  <c r="Y73" i="2" s="1"/>
  <c r="W50" i="2"/>
  <c r="Y50" i="2" s="1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50" i="2"/>
  <c r="K70" i="2"/>
  <c r="M70" i="2" s="1"/>
  <c r="K71" i="2"/>
  <c r="M71" i="2" s="1"/>
  <c r="K72" i="2"/>
  <c r="M72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50" i="2"/>
  <c r="M50" i="2" s="1"/>
  <c r="E54" i="2"/>
  <c r="E51" i="2"/>
  <c r="E52" i="2"/>
  <c r="E53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50" i="2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92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50" i="1"/>
  <c r="AC51" i="1"/>
  <c r="AE51" i="1" s="1"/>
  <c r="AC52" i="1"/>
  <c r="AE52" i="1" s="1"/>
  <c r="AC53" i="1"/>
  <c r="AE53" i="1" s="1"/>
  <c r="AC54" i="1"/>
  <c r="AE54" i="1" s="1"/>
  <c r="AC55" i="1"/>
  <c r="AE55" i="1" s="1"/>
  <c r="AC56" i="1"/>
  <c r="AE56" i="1" s="1"/>
  <c r="AC57" i="1"/>
  <c r="AE57" i="1" s="1"/>
  <c r="AC58" i="1"/>
  <c r="AE58" i="1" s="1"/>
  <c r="AC59" i="1"/>
  <c r="AE59" i="1" s="1"/>
  <c r="AC60" i="1"/>
  <c r="AE60" i="1" s="1"/>
  <c r="AC61" i="1"/>
  <c r="AE61" i="1" s="1"/>
  <c r="AC62" i="1"/>
  <c r="AE62" i="1" s="1"/>
  <c r="AC63" i="1"/>
  <c r="AE63" i="1" s="1"/>
  <c r="AC64" i="1"/>
  <c r="AE64" i="1" s="1"/>
  <c r="AC65" i="1"/>
  <c r="AE65" i="1" s="1"/>
  <c r="AC66" i="1"/>
  <c r="AE66" i="1" s="1"/>
  <c r="AC67" i="1"/>
  <c r="AE67" i="1" s="1"/>
  <c r="AC68" i="1"/>
  <c r="AE68" i="1" s="1"/>
  <c r="AC69" i="1"/>
  <c r="AE69" i="1" s="1"/>
  <c r="AC70" i="1"/>
  <c r="AE70" i="1" s="1"/>
  <c r="AC71" i="1"/>
  <c r="AE71" i="1" s="1"/>
  <c r="AC72" i="1"/>
  <c r="AE72" i="1" s="1"/>
  <c r="AC73" i="1"/>
  <c r="AE73" i="1" s="1"/>
  <c r="AC50" i="1"/>
  <c r="AE50" i="1" s="1"/>
  <c r="W51" i="1"/>
  <c r="Y51" i="1" s="1"/>
  <c r="W52" i="1"/>
  <c r="Y52" i="1" s="1"/>
  <c r="W53" i="1"/>
  <c r="Y53" i="1" s="1"/>
  <c r="W54" i="1"/>
  <c r="Y54" i="1" s="1"/>
  <c r="W55" i="1"/>
  <c r="Y55" i="1" s="1"/>
  <c r="W56" i="1"/>
  <c r="Y56" i="1" s="1"/>
  <c r="W57" i="1"/>
  <c r="Y57" i="1" s="1"/>
  <c r="W58" i="1"/>
  <c r="Y58" i="1" s="1"/>
  <c r="W59" i="1"/>
  <c r="Y59" i="1" s="1"/>
  <c r="W60" i="1"/>
  <c r="Y60" i="1" s="1"/>
  <c r="W61" i="1"/>
  <c r="Y61" i="1" s="1"/>
  <c r="W62" i="1"/>
  <c r="Y62" i="1" s="1"/>
  <c r="W63" i="1"/>
  <c r="Y63" i="1" s="1"/>
  <c r="W64" i="1"/>
  <c r="Y64" i="1" s="1"/>
  <c r="W65" i="1"/>
  <c r="Y65" i="1" s="1"/>
  <c r="W66" i="1"/>
  <c r="Y66" i="1" s="1"/>
  <c r="W67" i="1"/>
  <c r="Y67" i="1" s="1"/>
  <c r="W68" i="1"/>
  <c r="Y68" i="1" s="1"/>
  <c r="W69" i="1"/>
  <c r="Y69" i="1" s="1"/>
  <c r="W70" i="1"/>
  <c r="Y70" i="1" s="1"/>
  <c r="W71" i="1"/>
  <c r="Y71" i="1" s="1"/>
  <c r="W72" i="1"/>
  <c r="Y72" i="1" s="1"/>
  <c r="W73" i="1"/>
  <c r="Y73" i="1" s="1"/>
  <c r="W50" i="1"/>
  <c r="Y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50" i="1"/>
  <c r="S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50" i="1"/>
  <c r="M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50" i="1"/>
  <c r="G50" i="1" s="1"/>
  <c r="AE77" i="3" l="1"/>
  <c r="Y77" i="3"/>
  <c r="G72" i="3"/>
  <c r="AE117" i="2"/>
  <c r="AE74" i="2"/>
  <c r="Y117" i="2"/>
  <c r="M116" i="2"/>
  <c r="Y74" i="2"/>
  <c r="M73" i="2"/>
  <c r="AE74" i="1"/>
  <c r="Y74" i="1"/>
  <c r="S73" i="1"/>
  <c r="M74" i="1"/>
  <c r="G74" i="1"/>
  <c r="AG29" i="3" l="1"/>
  <c r="AH29" i="3" s="1"/>
  <c r="AA29" i="3"/>
  <c r="AB29" i="3" s="1"/>
  <c r="U29" i="3"/>
  <c r="V29" i="3" s="1"/>
  <c r="O29" i="3"/>
  <c r="P29" i="3" s="1"/>
  <c r="N20" i="1"/>
  <c r="B2" i="3" l="1"/>
  <c r="AM29" i="3" l="1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4" i="1"/>
  <c r="AM5" i="1"/>
  <c r="AM6" i="1"/>
  <c r="AM7" i="1"/>
  <c r="AM8" i="1"/>
  <c r="AM9" i="1"/>
  <c r="AM10" i="1"/>
  <c r="AM11" i="1"/>
  <c r="AM3" i="1"/>
  <c r="AG28" i="3"/>
  <c r="AH28" i="3" s="1"/>
  <c r="AG27" i="3"/>
  <c r="AH27" i="3" s="1"/>
  <c r="AG26" i="3"/>
  <c r="AH26" i="3" s="1"/>
  <c r="AI26" i="3" s="1"/>
  <c r="AG25" i="3"/>
  <c r="AH25" i="3" s="1"/>
  <c r="AG24" i="3"/>
  <c r="AH24" i="3" s="1"/>
  <c r="AI24" i="3" s="1"/>
  <c r="AG23" i="3"/>
  <c r="AH23" i="3" s="1"/>
  <c r="AG22" i="3"/>
  <c r="AH22" i="3" s="1"/>
  <c r="AA28" i="3"/>
  <c r="AB28" i="3" s="1"/>
  <c r="AA27" i="3"/>
  <c r="AB27" i="3" s="1"/>
  <c r="AC27" i="3" s="1"/>
  <c r="AA26" i="3"/>
  <c r="AB26" i="3" s="1"/>
  <c r="AA25" i="3"/>
  <c r="AB25" i="3" s="1"/>
  <c r="AC25" i="3" s="1"/>
  <c r="AA24" i="3"/>
  <c r="AB24" i="3" s="1"/>
  <c r="AA23" i="3"/>
  <c r="AB23" i="3" s="1"/>
  <c r="AC23" i="3" s="1"/>
  <c r="AA22" i="3"/>
  <c r="AB22" i="3" s="1"/>
  <c r="U28" i="3"/>
  <c r="V28" i="3" s="1"/>
  <c r="W29" i="3" s="1"/>
  <c r="U27" i="3"/>
  <c r="V27" i="3" s="1"/>
  <c r="U26" i="3"/>
  <c r="V26" i="3" s="1"/>
  <c r="W26" i="3" s="1"/>
  <c r="U25" i="3"/>
  <c r="V25" i="3" s="1"/>
  <c r="U24" i="3"/>
  <c r="V24" i="3" s="1"/>
  <c r="W24" i="3" s="1"/>
  <c r="U23" i="3"/>
  <c r="V23" i="3" s="1"/>
  <c r="U22" i="3"/>
  <c r="V22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Q23" i="3" s="1"/>
  <c r="O22" i="3"/>
  <c r="P22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C29" i="3"/>
  <c r="D29" i="3" s="1"/>
  <c r="C28" i="3"/>
  <c r="D28" i="3" s="1"/>
  <c r="C27" i="3"/>
  <c r="D27" i="3" s="1"/>
  <c r="E27" i="3" s="1"/>
  <c r="C26" i="3"/>
  <c r="D26" i="3" s="1"/>
  <c r="C25" i="3"/>
  <c r="D25" i="3" s="1"/>
  <c r="C24" i="3"/>
  <c r="D24" i="3" s="1"/>
  <c r="C23" i="3"/>
  <c r="D23" i="3" s="1"/>
  <c r="C22" i="3"/>
  <c r="D22" i="3" s="1"/>
  <c r="AG29" i="2"/>
  <c r="AH29" i="2" s="1"/>
  <c r="AG28" i="2"/>
  <c r="AH28" i="2" s="1"/>
  <c r="AG27" i="2"/>
  <c r="AH27" i="2" s="1"/>
  <c r="AG26" i="2"/>
  <c r="AH26" i="2" s="1"/>
  <c r="AG25" i="2"/>
  <c r="AH25" i="2" s="1"/>
  <c r="AG24" i="2"/>
  <c r="AH24" i="2" s="1"/>
  <c r="AG23" i="2"/>
  <c r="AH23" i="2" s="1"/>
  <c r="AG22" i="2"/>
  <c r="AH22" i="2" s="1"/>
  <c r="AA29" i="2"/>
  <c r="AB29" i="2" s="1"/>
  <c r="AA28" i="2"/>
  <c r="AB28" i="2" s="1"/>
  <c r="AA27" i="2"/>
  <c r="AB27" i="2" s="1"/>
  <c r="AA26" i="2"/>
  <c r="AB26" i="2" s="1"/>
  <c r="AA25" i="2"/>
  <c r="AB25" i="2" s="1"/>
  <c r="AA24" i="2"/>
  <c r="AB24" i="2" s="1"/>
  <c r="AA23" i="2"/>
  <c r="AB23" i="2" s="1"/>
  <c r="AA22" i="2"/>
  <c r="AB22" i="2" s="1"/>
  <c r="U29" i="2"/>
  <c r="V29" i="2" s="1"/>
  <c r="U28" i="2"/>
  <c r="V28" i="2" s="1"/>
  <c r="U27" i="2"/>
  <c r="V27" i="2" s="1"/>
  <c r="U26" i="2"/>
  <c r="V26" i="2" s="1"/>
  <c r="U25" i="2"/>
  <c r="V25" i="2" s="1"/>
  <c r="U24" i="2"/>
  <c r="V24" i="2" s="1"/>
  <c r="U23" i="2"/>
  <c r="V23" i="2" s="1"/>
  <c r="U22" i="2"/>
  <c r="V22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22" i="2"/>
  <c r="D22" i="2" s="1"/>
  <c r="AG19" i="1"/>
  <c r="AH19" i="1" s="1"/>
  <c r="AG21" i="1"/>
  <c r="AH21" i="1" s="1"/>
  <c r="AA19" i="1"/>
  <c r="AB19" i="1" s="1"/>
  <c r="AA21" i="1"/>
  <c r="AB21" i="1" s="1"/>
  <c r="U19" i="1"/>
  <c r="V19" i="1" s="1"/>
  <c r="O21" i="1"/>
  <c r="P21" i="1" s="1"/>
  <c r="I21" i="1"/>
  <c r="J21" i="1" s="1"/>
  <c r="C20" i="1"/>
  <c r="D20" i="1" s="1"/>
  <c r="C21" i="1"/>
  <c r="D21" i="1" s="1"/>
  <c r="AG18" i="2"/>
  <c r="AH18" i="2" s="1"/>
  <c r="AG20" i="2"/>
  <c r="AH20" i="2" s="1"/>
  <c r="AG21" i="2"/>
  <c r="AH21" i="2" s="1"/>
  <c r="AI21" i="2" s="1"/>
  <c r="AA18" i="2"/>
  <c r="AB18" i="2" s="1"/>
  <c r="AA20" i="2"/>
  <c r="AB20" i="2" s="1"/>
  <c r="AA21" i="2"/>
  <c r="AB21" i="2" s="1"/>
  <c r="U18" i="2"/>
  <c r="V18" i="2" s="1"/>
  <c r="U19" i="2"/>
  <c r="V19" i="2" s="1"/>
  <c r="U20" i="2"/>
  <c r="V20" i="2" s="1"/>
  <c r="U21" i="2"/>
  <c r="V21" i="2" s="1"/>
  <c r="O19" i="2"/>
  <c r="P19" i="2" s="1"/>
  <c r="I19" i="2"/>
  <c r="J19" i="2" s="1"/>
  <c r="C19" i="2"/>
  <c r="D19" i="2" s="1"/>
  <c r="C20" i="2"/>
  <c r="D20" i="2" s="1"/>
  <c r="C21" i="2"/>
  <c r="D21" i="2" s="1"/>
  <c r="AG18" i="3"/>
  <c r="AH18" i="3" s="1"/>
  <c r="AG19" i="3"/>
  <c r="AH19" i="3" s="1"/>
  <c r="AG20" i="3"/>
  <c r="AH20" i="3" s="1"/>
  <c r="AG21" i="3"/>
  <c r="AH21" i="3" s="1"/>
  <c r="AI21" i="3" s="1"/>
  <c r="AA18" i="3"/>
  <c r="AB18" i="3" s="1"/>
  <c r="AA19" i="3"/>
  <c r="AB19" i="3" s="1"/>
  <c r="AA20" i="3"/>
  <c r="AB20" i="3" s="1"/>
  <c r="AC20" i="3" s="1"/>
  <c r="AA21" i="3"/>
  <c r="AB21" i="3" s="1"/>
  <c r="U18" i="3"/>
  <c r="V18" i="3" s="1"/>
  <c r="U19" i="3"/>
  <c r="V19" i="3" s="1"/>
  <c r="W19" i="3" s="1"/>
  <c r="U20" i="3"/>
  <c r="V20" i="3" s="1"/>
  <c r="U21" i="3"/>
  <c r="V21" i="3" s="1"/>
  <c r="O18" i="3"/>
  <c r="P18" i="3" s="1"/>
  <c r="O19" i="3"/>
  <c r="P19" i="3" s="1"/>
  <c r="O21" i="3"/>
  <c r="P21" i="3" s="1"/>
  <c r="I18" i="3"/>
  <c r="J18" i="3" s="1"/>
  <c r="I19" i="3"/>
  <c r="J19" i="3" s="1"/>
  <c r="I21" i="3"/>
  <c r="J21" i="3" s="1"/>
  <c r="C19" i="3"/>
  <c r="D19" i="3" s="1"/>
  <c r="C20" i="3"/>
  <c r="D20" i="3" s="1"/>
  <c r="C21" i="3"/>
  <c r="D21" i="3" s="1"/>
  <c r="E20" i="3" l="1"/>
  <c r="W21" i="3"/>
  <c r="AC19" i="3"/>
  <c r="Q29" i="1"/>
  <c r="Q23" i="1"/>
  <c r="W29" i="1"/>
  <c r="W27" i="1"/>
  <c r="W25" i="1"/>
  <c r="AC29" i="1"/>
  <c r="AC27" i="1"/>
  <c r="AC25" i="1"/>
  <c r="AC26" i="1" s="1"/>
  <c r="AI29" i="1"/>
  <c r="AI27" i="1"/>
  <c r="AI25" i="1"/>
  <c r="Q28" i="2"/>
  <c r="Q26" i="2"/>
  <c r="W23" i="2"/>
  <c r="W25" i="2"/>
  <c r="W27" i="2"/>
  <c r="W29" i="2"/>
  <c r="Q29" i="3"/>
  <c r="AC29" i="3"/>
  <c r="K28" i="1"/>
  <c r="E22" i="2"/>
  <c r="E23" i="2"/>
  <c r="AC23" i="2"/>
  <c r="AC25" i="2"/>
  <c r="AC27" i="2"/>
  <c r="AC28" i="2"/>
  <c r="AI24" i="2"/>
  <c r="AI28" i="2"/>
  <c r="E22" i="3"/>
  <c r="E24" i="3"/>
  <c r="E26" i="3"/>
  <c r="E28" i="3"/>
  <c r="K22" i="3"/>
  <c r="K24" i="3"/>
  <c r="K27" i="3"/>
  <c r="K29" i="3"/>
  <c r="E21" i="3"/>
  <c r="K19" i="3"/>
  <c r="AI19" i="3"/>
  <c r="E21" i="2"/>
  <c r="W20" i="2"/>
  <c r="K29" i="1"/>
  <c r="Q28" i="1"/>
  <c r="Q26" i="1"/>
  <c r="Q24" i="1"/>
  <c r="Q22" i="1"/>
  <c r="W28" i="1"/>
  <c r="W26" i="1"/>
  <c r="AC28" i="1"/>
  <c r="AC24" i="1"/>
  <c r="AI28" i="1"/>
  <c r="AI26" i="1"/>
  <c r="AI24" i="1"/>
  <c r="AI22" i="1"/>
  <c r="E24" i="2"/>
  <c r="Q29" i="2"/>
  <c r="Q27" i="2"/>
  <c r="Q25" i="2"/>
  <c r="AC26" i="2"/>
  <c r="AC29" i="2"/>
  <c r="E23" i="3"/>
  <c r="AI28" i="3"/>
  <c r="AI29" i="3"/>
  <c r="Q28" i="3"/>
  <c r="Q26" i="3"/>
  <c r="Q25" i="3"/>
  <c r="K28" i="3"/>
  <c r="K26" i="3"/>
  <c r="K25" i="3"/>
  <c r="E25" i="2"/>
  <c r="E26" i="2"/>
  <c r="E29" i="2"/>
  <c r="E27" i="2"/>
  <c r="E25" i="1"/>
  <c r="K25" i="1"/>
  <c r="E24" i="1"/>
  <c r="K24" i="1"/>
  <c r="Q25" i="1"/>
  <c r="E27" i="1"/>
  <c r="K27" i="1"/>
  <c r="E26" i="1"/>
  <c r="K26" i="1"/>
  <c r="Q27" i="1"/>
  <c r="E28" i="1"/>
  <c r="Q19" i="3"/>
  <c r="W20" i="3"/>
  <c r="AC21" i="3"/>
  <c r="W19" i="2"/>
  <c r="AC21" i="2"/>
  <c r="W22" i="2"/>
  <c r="W24" i="2"/>
  <c r="W26" i="2"/>
  <c r="W28" i="2"/>
  <c r="AC22" i="2"/>
  <c r="AC24" i="2"/>
  <c r="AI23" i="2"/>
  <c r="AI25" i="2"/>
  <c r="AI27" i="2"/>
  <c r="AI29" i="2"/>
  <c r="E25" i="3"/>
  <c r="E29" i="3"/>
  <c r="K23" i="3"/>
  <c r="Q22" i="3"/>
  <c r="Q24" i="3"/>
  <c r="W23" i="3"/>
  <c r="W25" i="3"/>
  <c r="W27" i="3"/>
  <c r="AC22" i="3"/>
  <c r="AC24" i="3"/>
  <c r="AC26" i="3"/>
  <c r="AC28" i="3"/>
  <c r="AI23" i="3"/>
  <c r="AI25" i="3"/>
  <c r="AI27" i="3"/>
  <c r="W23" i="1"/>
  <c r="AI23" i="1"/>
  <c r="AI20" i="3"/>
  <c r="W21" i="2"/>
  <c r="AI22" i="2"/>
  <c r="W22" i="3"/>
  <c r="AI22" i="3"/>
  <c r="W24" i="1"/>
  <c r="AC22" i="1"/>
  <c r="E21" i="1"/>
  <c r="K23" i="1"/>
  <c r="E23" i="1"/>
  <c r="K22" i="1"/>
  <c r="AC23" i="1"/>
  <c r="E22" i="1"/>
  <c r="N20" i="3"/>
  <c r="O20" i="3" s="1"/>
  <c r="P20" i="3" s="1"/>
  <c r="Q20" i="3" s="1"/>
  <c r="H20" i="3"/>
  <c r="I20" i="3" s="1"/>
  <c r="J20" i="3" s="1"/>
  <c r="K20" i="3" s="1"/>
  <c r="B18" i="3"/>
  <c r="C18" i="3" s="1"/>
  <c r="D18" i="3" s="1"/>
  <c r="N21" i="2"/>
  <c r="O21" i="2" s="1"/>
  <c r="P21" i="2" s="1"/>
  <c r="Q22" i="2" s="1"/>
  <c r="H21" i="2"/>
  <c r="I21" i="2" s="1"/>
  <c r="J21" i="2" s="1"/>
  <c r="N20" i="2"/>
  <c r="O20" i="2" s="1"/>
  <c r="P20" i="2" s="1"/>
  <c r="Q20" i="2" s="1"/>
  <c r="H20" i="2"/>
  <c r="I20" i="2" s="1"/>
  <c r="J20" i="2" s="1"/>
  <c r="K20" i="2" s="1"/>
  <c r="AF19" i="2"/>
  <c r="AG19" i="2" s="1"/>
  <c r="AH19" i="2" s="1"/>
  <c r="AI19" i="2" s="1"/>
  <c r="Z19" i="2"/>
  <c r="AA19" i="2" s="1"/>
  <c r="AB19" i="2" s="1"/>
  <c r="AC19" i="2" s="1"/>
  <c r="N18" i="2"/>
  <c r="O18" i="2" s="1"/>
  <c r="P18" i="2" s="1"/>
  <c r="Q19" i="2" s="1"/>
  <c r="H18" i="2"/>
  <c r="I18" i="2" s="1"/>
  <c r="J18" i="2" s="1"/>
  <c r="B18" i="2"/>
  <c r="C18" i="2" s="1"/>
  <c r="D18" i="2" s="1"/>
  <c r="T21" i="1"/>
  <c r="U21" i="1" s="1"/>
  <c r="V21" i="1" s="1"/>
  <c r="AF20" i="1"/>
  <c r="AG20" i="1" s="1"/>
  <c r="AH20" i="1" s="1"/>
  <c r="Z20" i="1"/>
  <c r="AA20" i="1" s="1"/>
  <c r="AB20" i="1" s="1"/>
  <c r="AC20" i="1" s="1"/>
  <c r="T20" i="1"/>
  <c r="U20" i="1" s="1"/>
  <c r="V20" i="1" s="1"/>
  <c r="O20" i="1"/>
  <c r="P20" i="1" s="1"/>
  <c r="Q21" i="1" s="1"/>
  <c r="H20" i="1"/>
  <c r="I20" i="1" s="1"/>
  <c r="J20" i="1" s="1"/>
  <c r="K21" i="1" s="1"/>
  <c r="N19" i="1"/>
  <c r="O19" i="1" s="1"/>
  <c r="P19" i="1" s="1"/>
  <c r="H19" i="1"/>
  <c r="I19" i="1" s="1"/>
  <c r="J19" i="1" s="1"/>
  <c r="B19" i="1"/>
  <c r="C19" i="1" s="1"/>
  <c r="D19" i="1" s="1"/>
  <c r="E20" i="1" s="1"/>
  <c r="AF18" i="1"/>
  <c r="AG18" i="1" s="1"/>
  <c r="AH18" i="1" s="1"/>
  <c r="Z18" i="1"/>
  <c r="AA18" i="1" s="1"/>
  <c r="AB18" i="1" s="1"/>
  <c r="AC19" i="1" s="1"/>
  <c r="T18" i="1"/>
  <c r="U18" i="1" s="1"/>
  <c r="V18" i="1" s="1"/>
  <c r="W19" i="1" s="1"/>
  <c r="N18" i="1"/>
  <c r="O18" i="1" s="1"/>
  <c r="P18" i="1" s="1"/>
  <c r="H18" i="1"/>
  <c r="I18" i="1" s="1"/>
  <c r="J18" i="1" s="1"/>
  <c r="B18" i="1"/>
  <c r="C18" i="1" s="1"/>
  <c r="D18" i="1" s="1"/>
  <c r="AF17" i="3"/>
  <c r="AG17" i="3" s="1"/>
  <c r="AH17" i="3" s="1"/>
  <c r="AF16" i="3"/>
  <c r="AG16" i="3" s="1"/>
  <c r="AH16" i="3" s="1"/>
  <c r="AF15" i="3"/>
  <c r="AG15" i="3" s="1"/>
  <c r="AH15" i="3" s="1"/>
  <c r="Z17" i="3"/>
  <c r="AA17" i="3" s="1"/>
  <c r="AB17" i="3" s="1"/>
  <c r="Z16" i="3"/>
  <c r="AA16" i="3" s="1"/>
  <c r="AB16" i="3" s="1"/>
  <c r="Z15" i="3"/>
  <c r="AA15" i="3" s="1"/>
  <c r="AB15" i="3" s="1"/>
  <c r="T17" i="3"/>
  <c r="U17" i="3" s="1"/>
  <c r="V17" i="3" s="1"/>
  <c r="T16" i="3"/>
  <c r="U16" i="3" s="1"/>
  <c r="V16" i="3" s="1"/>
  <c r="T15" i="3"/>
  <c r="U15" i="3" s="1"/>
  <c r="V15" i="3" s="1"/>
  <c r="N17" i="3"/>
  <c r="O17" i="3" s="1"/>
  <c r="P17" i="3" s="1"/>
  <c r="N16" i="3"/>
  <c r="O16" i="3" s="1"/>
  <c r="P16" i="3" s="1"/>
  <c r="N15" i="3"/>
  <c r="O15" i="3" s="1"/>
  <c r="P15" i="3" s="1"/>
  <c r="H17" i="3"/>
  <c r="I17" i="3" s="1"/>
  <c r="J17" i="3" s="1"/>
  <c r="H16" i="3"/>
  <c r="I16" i="3" s="1"/>
  <c r="J16" i="3" s="1"/>
  <c r="H15" i="3"/>
  <c r="I15" i="3" s="1"/>
  <c r="J15" i="3" s="1"/>
  <c r="B17" i="3"/>
  <c r="C17" i="3" s="1"/>
  <c r="D17" i="3" s="1"/>
  <c r="B16" i="3"/>
  <c r="C16" i="3" s="1"/>
  <c r="D16" i="3" s="1"/>
  <c r="B15" i="3"/>
  <c r="C15" i="3" s="1"/>
  <c r="D15" i="3" s="1"/>
  <c r="AF17" i="2"/>
  <c r="AG17" i="2" s="1"/>
  <c r="AH17" i="2" s="1"/>
  <c r="AF16" i="2"/>
  <c r="AG16" i="2" s="1"/>
  <c r="AH16" i="2" s="1"/>
  <c r="AF15" i="2"/>
  <c r="AG15" i="2" s="1"/>
  <c r="AH15" i="2" s="1"/>
  <c r="Z17" i="2"/>
  <c r="AA17" i="2" s="1"/>
  <c r="AB17" i="2" s="1"/>
  <c r="Z16" i="2"/>
  <c r="AA16" i="2" s="1"/>
  <c r="AB16" i="2" s="1"/>
  <c r="Z15" i="2"/>
  <c r="AA15" i="2" s="1"/>
  <c r="AB15" i="2" s="1"/>
  <c r="T17" i="2"/>
  <c r="U17" i="2" s="1"/>
  <c r="V17" i="2" s="1"/>
  <c r="T16" i="2"/>
  <c r="U16" i="2" s="1"/>
  <c r="V16" i="2" s="1"/>
  <c r="T15" i="2"/>
  <c r="U15" i="2" s="1"/>
  <c r="V15" i="2" s="1"/>
  <c r="N17" i="2"/>
  <c r="O17" i="2" s="1"/>
  <c r="P17" i="2" s="1"/>
  <c r="N16" i="2"/>
  <c r="O16" i="2" s="1"/>
  <c r="P16" i="2" s="1"/>
  <c r="N15" i="2"/>
  <c r="O15" i="2" s="1"/>
  <c r="P15" i="2" s="1"/>
  <c r="H17" i="2"/>
  <c r="I17" i="2" s="1"/>
  <c r="J17" i="2" s="1"/>
  <c r="H16" i="2"/>
  <c r="I16" i="2" s="1"/>
  <c r="J16" i="2" s="1"/>
  <c r="H15" i="2"/>
  <c r="I15" i="2" s="1"/>
  <c r="J15" i="2" s="1"/>
  <c r="B17" i="2"/>
  <c r="C17" i="2" s="1"/>
  <c r="D17" i="2" s="1"/>
  <c r="B16" i="2"/>
  <c r="C16" i="2" s="1"/>
  <c r="D16" i="2" s="1"/>
  <c r="B15" i="2"/>
  <c r="C15" i="2" s="1"/>
  <c r="D15" i="2" s="1"/>
  <c r="AF17" i="1"/>
  <c r="AG17" i="1" s="1"/>
  <c r="AH17" i="1" s="1"/>
  <c r="AF16" i="1"/>
  <c r="AG16" i="1" s="1"/>
  <c r="AH16" i="1" s="1"/>
  <c r="AF15" i="1"/>
  <c r="AG15" i="1" s="1"/>
  <c r="AH15" i="1" s="1"/>
  <c r="Z17" i="1"/>
  <c r="AA17" i="1" s="1"/>
  <c r="AB17" i="1" s="1"/>
  <c r="Z16" i="1"/>
  <c r="AA16" i="1" s="1"/>
  <c r="AB16" i="1" s="1"/>
  <c r="Z15" i="1"/>
  <c r="AA15" i="1" s="1"/>
  <c r="AB15" i="1" s="1"/>
  <c r="T17" i="1"/>
  <c r="U17" i="1" s="1"/>
  <c r="V17" i="1" s="1"/>
  <c r="T16" i="1"/>
  <c r="U16" i="1" s="1"/>
  <c r="V16" i="1" s="1"/>
  <c r="T15" i="1"/>
  <c r="U15" i="1" s="1"/>
  <c r="V15" i="1" s="1"/>
  <c r="N17" i="1"/>
  <c r="O17" i="1" s="1"/>
  <c r="P17" i="1" s="1"/>
  <c r="N16" i="1"/>
  <c r="O16" i="1" s="1"/>
  <c r="P16" i="1" s="1"/>
  <c r="N15" i="1"/>
  <c r="O15" i="1" s="1"/>
  <c r="P15" i="1" s="1"/>
  <c r="H17" i="1"/>
  <c r="I17" i="1" s="1"/>
  <c r="J17" i="1" s="1"/>
  <c r="H16" i="1"/>
  <c r="I16" i="1" s="1"/>
  <c r="J16" i="1" s="1"/>
  <c r="H15" i="1"/>
  <c r="I15" i="1" s="1"/>
  <c r="J15" i="1" s="1"/>
  <c r="B17" i="1"/>
  <c r="C17" i="1" s="1"/>
  <c r="D17" i="1" s="1"/>
  <c r="B16" i="1"/>
  <c r="C16" i="1" s="1"/>
  <c r="D16" i="1" s="1"/>
  <c r="B15" i="1"/>
  <c r="C15" i="1" s="1"/>
  <c r="D15" i="1" s="1"/>
  <c r="AG4" i="3"/>
  <c r="AH4" i="3" s="1"/>
  <c r="AG5" i="3"/>
  <c r="AH5" i="3" s="1"/>
  <c r="AA4" i="3"/>
  <c r="AB4" i="3" s="1"/>
  <c r="AA5" i="3"/>
  <c r="AB5" i="3" s="1"/>
  <c r="U5" i="3"/>
  <c r="V5" i="3" s="1"/>
  <c r="O4" i="3"/>
  <c r="P4" i="3" s="1"/>
  <c r="O5" i="3"/>
  <c r="P5" i="3" s="1"/>
  <c r="C3" i="3"/>
  <c r="D3" i="3" s="1"/>
  <c r="E3" i="3" s="1"/>
  <c r="F3" i="3" s="1"/>
  <c r="C4" i="3"/>
  <c r="D4" i="3" s="1"/>
  <c r="C5" i="3"/>
  <c r="D5" i="3" s="1"/>
  <c r="AG4" i="2"/>
  <c r="AH4" i="2" s="1"/>
  <c r="U4" i="2"/>
  <c r="V4" i="2" s="1"/>
  <c r="O4" i="2"/>
  <c r="P4" i="2" s="1"/>
  <c r="AG4" i="1"/>
  <c r="AH4" i="1" s="1"/>
  <c r="AG5" i="1"/>
  <c r="AH5" i="1" s="1"/>
  <c r="U4" i="1"/>
  <c r="V4" i="1" s="1"/>
  <c r="O10" i="1"/>
  <c r="P10" i="1" s="1"/>
  <c r="I4" i="1"/>
  <c r="J4" i="1" s="1"/>
  <c r="C5" i="1"/>
  <c r="D5" i="1" s="1"/>
  <c r="E4" i="3" l="1"/>
  <c r="F4" i="3" s="1"/>
  <c r="Q16" i="3"/>
  <c r="E17" i="1"/>
  <c r="K16" i="1"/>
  <c r="W16" i="1"/>
  <c r="K17" i="2"/>
  <c r="W17" i="2"/>
  <c r="AI17" i="2"/>
  <c r="K16" i="3"/>
  <c r="AC17" i="3"/>
  <c r="Q27" i="3"/>
  <c r="AI26" i="2"/>
  <c r="E28" i="2"/>
  <c r="AC16" i="1"/>
  <c r="K18" i="1"/>
  <c r="W17" i="1"/>
  <c r="Q18" i="1"/>
  <c r="K17" i="1"/>
  <c r="AC17" i="1"/>
  <c r="Q16" i="1"/>
  <c r="K19" i="1"/>
  <c r="E16" i="1"/>
  <c r="AI17" i="1"/>
  <c r="E18" i="1"/>
  <c r="Q19" i="1"/>
  <c r="E29" i="1"/>
  <c r="Q23" i="2"/>
  <c r="E16" i="3"/>
  <c r="E17" i="3"/>
  <c r="K17" i="3"/>
  <c r="Q17" i="3"/>
  <c r="W17" i="3"/>
  <c r="AI17" i="3"/>
  <c r="K18" i="2"/>
  <c r="K21" i="2"/>
  <c r="E18" i="3"/>
  <c r="E19" i="1"/>
  <c r="W21" i="1"/>
  <c r="AC21" i="1"/>
  <c r="W22" i="1"/>
  <c r="AC18" i="1"/>
  <c r="AC20" i="2"/>
  <c r="W18" i="3"/>
  <c r="Q21" i="3"/>
  <c r="AI18" i="2"/>
  <c r="AI18" i="3"/>
  <c r="K22" i="2"/>
  <c r="K19" i="2"/>
  <c r="E19" i="3"/>
  <c r="E5" i="3"/>
  <c r="F5" i="3" s="1"/>
  <c r="AI16" i="1"/>
  <c r="E17" i="2"/>
  <c r="Q17" i="2"/>
  <c r="AC17" i="2"/>
  <c r="AI18" i="1"/>
  <c r="AI20" i="1"/>
  <c r="E18" i="2"/>
  <c r="Q18" i="2"/>
  <c r="Q21" i="2"/>
  <c r="W18" i="1"/>
  <c r="Q17" i="1"/>
  <c r="K20" i="1"/>
  <c r="W20" i="1"/>
  <c r="AI20" i="2"/>
  <c r="W18" i="2"/>
  <c r="Q18" i="3"/>
  <c r="W28" i="3"/>
  <c r="AC18" i="2"/>
  <c r="AC18" i="3"/>
  <c r="K21" i="3"/>
  <c r="AI21" i="1"/>
  <c r="K18" i="3"/>
  <c r="AI19" i="1"/>
  <c r="E19" i="2"/>
  <c r="AF14" i="3"/>
  <c r="AG14" i="3" s="1"/>
  <c r="AH14" i="3" s="1"/>
  <c r="Z14" i="3"/>
  <c r="AA14" i="3" s="1"/>
  <c r="AB14" i="3" s="1"/>
  <c r="AC15" i="3" s="1"/>
  <c r="T14" i="3"/>
  <c r="U14" i="3" s="1"/>
  <c r="V14" i="3" s="1"/>
  <c r="N14" i="3"/>
  <c r="O14" i="3" s="1"/>
  <c r="P14" i="3" s="1"/>
  <c r="H14" i="3"/>
  <c r="I14" i="3" s="1"/>
  <c r="J14" i="3" s="1"/>
  <c r="B14" i="3"/>
  <c r="C14" i="3" s="1"/>
  <c r="D14" i="3" s="1"/>
  <c r="AF13" i="3"/>
  <c r="AG13" i="3" s="1"/>
  <c r="AH13" i="3" s="1"/>
  <c r="Z13" i="3"/>
  <c r="AA13" i="3" s="1"/>
  <c r="AB13" i="3" s="1"/>
  <c r="T13" i="3"/>
  <c r="U13" i="3" s="1"/>
  <c r="V13" i="3" s="1"/>
  <c r="N13" i="3"/>
  <c r="O13" i="3" s="1"/>
  <c r="P13" i="3" s="1"/>
  <c r="H13" i="3"/>
  <c r="I13" i="3" s="1"/>
  <c r="J13" i="3" s="1"/>
  <c r="B13" i="3"/>
  <c r="C13" i="3" s="1"/>
  <c r="D13" i="3" s="1"/>
  <c r="AF12" i="3"/>
  <c r="AG12" i="3" s="1"/>
  <c r="AH12" i="3" s="1"/>
  <c r="AF9" i="3"/>
  <c r="AG9" i="3" s="1"/>
  <c r="AH9" i="3" s="1"/>
  <c r="Z12" i="3"/>
  <c r="AA12" i="3" s="1"/>
  <c r="AB12" i="3" s="1"/>
  <c r="AF8" i="3"/>
  <c r="AG8" i="3" s="1"/>
  <c r="AH8" i="3" s="1"/>
  <c r="AF7" i="3"/>
  <c r="AG7" i="3" s="1"/>
  <c r="AH7" i="3" s="1"/>
  <c r="T12" i="3"/>
  <c r="U12" i="3" s="1"/>
  <c r="V12" i="3" s="1"/>
  <c r="AF6" i="3"/>
  <c r="AG6" i="3" s="1"/>
  <c r="AH6" i="3" s="1"/>
  <c r="AF3" i="3"/>
  <c r="AG3" i="3" s="1"/>
  <c r="AH3" i="3" s="1"/>
  <c r="AI3" i="3" s="1"/>
  <c r="AJ3" i="3" s="1"/>
  <c r="N12" i="3"/>
  <c r="O12" i="3" s="1"/>
  <c r="P12" i="3" s="1"/>
  <c r="Z11" i="3"/>
  <c r="AA11" i="3" s="1"/>
  <c r="AB11" i="3" s="1"/>
  <c r="H12" i="3"/>
  <c r="I12" i="3" s="1"/>
  <c r="J12" i="3" s="1"/>
  <c r="Z9" i="3"/>
  <c r="AA9" i="3" s="1"/>
  <c r="AB9" i="3" s="1"/>
  <c r="AC9" i="3" s="1"/>
  <c r="Z8" i="3"/>
  <c r="AA8" i="3" s="1"/>
  <c r="AB8" i="3" s="1"/>
  <c r="B12" i="3"/>
  <c r="C12" i="3" s="1"/>
  <c r="D12" i="3" s="1"/>
  <c r="Z7" i="3"/>
  <c r="AA7" i="3" s="1"/>
  <c r="AB7" i="3" s="1"/>
  <c r="Z6" i="3"/>
  <c r="AA6" i="3" s="1"/>
  <c r="AB6" i="3" s="1"/>
  <c r="AF11" i="3"/>
  <c r="AG11" i="3" s="1"/>
  <c r="AH11" i="3" s="1"/>
  <c r="Z3" i="3"/>
  <c r="AA3" i="3" s="1"/>
  <c r="AB3" i="3" s="1"/>
  <c r="AC3" i="3" s="1"/>
  <c r="AD3" i="3" s="1"/>
  <c r="T9" i="3"/>
  <c r="U9" i="3" s="1"/>
  <c r="V9" i="3" s="1"/>
  <c r="T8" i="3"/>
  <c r="U8" i="3" s="1"/>
  <c r="V8" i="3" s="1"/>
  <c r="T7" i="3"/>
  <c r="U7" i="3" s="1"/>
  <c r="V7" i="3" s="1"/>
  <c r="T11" i="3"/>
  <c r="U11" i="3" s="1"/>
  <c r="V11" i="3" s="1"/>
  <c r="T6" i="3"/>
  <c r="U6" i="3" s="1"/>
  <c r="V6" i="3" s="1"/>
  <c r="N11" i="3"/>
  <c r="O11" i="3" s="1"/>
  <c r="P11" i="3" s="1"/>
  <c r="T4" i="3"/>
  <c r="U4" i="3" s="1"/>
  <c r="V4" i="3" s="1"/>
  <c r="T3" i="3"/>
  <c r="U3" i="3" s="1"/>
  <c r="V3" i="3" s="1"/>
  <c r="W3" i="3" s="1"/>
  <c r="X3" i="3" s="1"/>
  <c r="H11" i="3"/>
  <c r="I11" i="3" s="1"/>
  <c r="J11" i="3" s="1"/>
  <c r="N9" i="3"/>
  <c r="O9" i="3" s="1"/>
  <c r="P9" i="3" s="1"/>
  <c r="Q9" i="3" s="1"/>
  <c r="N8" i="3"/>
  <c r="O8" i="3" s="1"/>
  <c r="P8" i="3" s="1"/>
  <c r="N7" i="3"/>
  <c r="O7" i="3" s="1"/>
  <c r="P7" i="3" s="1"/>
  <c r="B11" i="3"/>
  <c r="C11" i="3" s="1"/>
  <c r="D11" i="3" s="1"/>
  <c r="N6" i="3"/>
  <c r="O6" i="3" s="1"/>
  <c r="P6" i="3" s="1"/>
  <c r="N3" i="3"/>
  <c r="O3" i="3" s="1"/>
  <c r="P3" i="3" s="1"/>
  <c r="Q3" i="3" s="1"/>
  <c r="R3" i="3" s="1"/>
  <c r="AF10" i="3"/>
  <c r="AG10" i="3" s="1"/>
  <c r="AH10" i="3" s="1"/>
  <c r="H9" i="3"/>
  <c r="I9" i="3" s="1"/>
  <c r="J9" i="3" s="1"/>
  <c r="Z10" i="3"/>
  <c r="AA10" i="3" s="1"/>
  <c r="AB10" i="3" s="1"/>
  <c r="AC10" i="3" s="1"/>
  <c r="H8" i="3"/>
  <c r="I8" i="3" s="1"/>
  <c r="J8" i="3" s="1"/>
  <c r="H7" i="3"/>
  <c r="I7" i="3" s="1"/>
  <c r="J7" i="3" s="1"/>
  <c r="K7" i="3" s="1"/>
  <c r="H6" i="3"/>
  <c r="I6" i="3" s="1"/>
  <c r="J6" i="3" s="1"/>
  <c r="T10" i="3"/>
  <c r="U10" i="3" s="1"/>
  <c r="V10" i="3" s="1"/>
  <c r="H5" i="3"/>
  <c r="I5" i="3" s="1"/>
  <c r="J5" i="3" s="1"/>
  <c r="H4" i="3"/>
  <c r="I4" i="3" s="1"/>
  <c r="J4" i="3" s="1"/>
  <c r="K4" i="3" s="1"/>
  <c r="L4" i="3" s="1"/>
  <c r="H3" i="3"/>
  <c r="I3" i="3" s="1"/>
  <c r="J3" i="3" s="1"/>
  <c r="K3" i="3" s="1"/>
  <c r="L3" i="3" s="1"/>
  <c r="N10" i="3"/>
  <c r="O10" i="3" s="1"/>
  <c r="P10" i="3" s="1"/>
  <c r="Q10" i="3" s="1"/>
  <c r="B9" i="3"/>
  <c r="C9" i="3" s="1"/>
  <c r="D9" i="3" s="1"/>
  <c r="B8" i="3"/>
  <c r="C8" i="3" s="1"/>
  <c r="D8" i="3" s="1"/>
  <c r="H10" i="3"/>
  <c r="I10" i="3" s="1"/>
  <c r="J10" i="3" s="1"/>
  <c r="K10" i="3" s="1"/>
  <c r="B7" i="3"/>
  <c r="C7" i="3" s="1"/>
  <c r="D7" i="3" s="1"/>
  <c r="E7" i="3" s="1"/>
  <c r="B6" i="3"/>
  <c r="C6" i="3" s="1"/>
  <c r="D6" i="3" s="1"/>
  <c r="B10" i="3"/>
  <c r="C10" i="3" s="1"/>
  <c r="D10" i="3" s="1"/>
  <c r="E10" i="3" s="1"/>
  <c r="AF14" i="2"/>
  <c r="AG14" i="2" s="1"/>
  <c r="AH14" i="2" s="1"/>
  <c r="Z14" i="2"/>
  <c r="AA14" i="2" s="1"/>
  <c r="AB14" i="2" s="1"/>
  <c r="T14" i="2"/>
  <c r="U14" i="2" s="1"/>
  <c r="V14" i="2" s="1"/>
  <c r="N14" i="2"/>
  <c r="O14" i="2" s="1"/>
  <c r="P14" i="2" s="1"/>
  <c r="Q15" i="2" s="1"/>
  <c r="H14" i="2"/>
  <c r="I14" i="2" s="1"/>
  <c r="J14" i="2" s="1"/>
  <c r="B14" i="2"/>
  <c r="C14" i="2" s="1"/>
  <c r="D14" i="2" s="1"/>
  <c r="AF13" i="2"/>
  <c r="AG13" i="2" s="1"/>
  <c r="AH13" i="2" s="1"/>
  <c r="Z13" i="2"/>
  <c r="AA13" i="2" s="1"/>
  <c r="AB13" i="2" s="1"/>
  <c r="T13" i="2"/>
  <c r="U13" i="2" s="1"/>
  <c r="V13" i="2" s="1"/>
  <c r="N13" i="2"/>
  <c r="O13" i="2" s="1"/>
  <c r="P13" i="2" s="1"/>
  <c r="H13" i="2"/>
  <c r="I13" i="2" s="1"/>
  <c r="J13" i="2" s="1"/>
  <c r="AF9" i="2"/>
  <c r="AG9" i="2" s="1"/>
  <c r="AH9" i="2" s="1"/>
  <c r="B13" i="2"/>
  <c r="C13" i="2" s="1"/>
  <c r="D13" i="2" s="1"/>
  <c r="AF8" i="2"/>
  <c r="AG8" i="2" s="1"/>
  <c r="AH8" i="2" s="1"/>
  <c r="AI8" i="2" s="1"/>
  <c r="AF7" i="2"/>
  <c r="AG7" i="2" s="1"/>
  <c r="AH7" i="2" s="1"/>
  <c r="AF12" i="2"/>
  <c r="AG12" i="2" s="1"/>
  <c r="AH12" i="2" s="1"/>
  <c r="AF6" i="2"/>
  <c r="AG6" i="2" s="1"/>
  <c r="AH6" i="2" s="1"/>
  <c r="AF5" i="2"/>
  <c r="AG5" i="2" s="1"/>
  <c r="AH5" i="2" s="1"/>
  <c r="Z12" i="2"/>
  <c r="AA12" i="2" s="1"/>
  <c r="AB12" i="2" s="1"/>
  <c r="AF3" i="2"/>
  <c r="AG3" i="2" s="1"/>
  <c r="AH3" i="2" s="1"/>
  <c r="AI3" i="2" s="1"/>
  <c r="AJ3" i="2" s="1"/>
  <c r="T12" i="2"/>
  <c r="U12" i="2" s="1"/>
  <c r="V12" i="2" s="1"/>
  <c r="Z9" i="2"/>
  <c r="AA9" i="2" s="1"/>
  <c r="AB9" i="2" s="1"/>
  <c r="AC9" i="2" s="1"/>
  <c r="Z8" i="2"/>
  <c r="AA8" i="2" s="1"/>
  <c r="AB8" i="2" s="1"/>
  <c r="N12" i="2"/>
  <c r="O12" i="2" s="1"/>
  <c r="P12" i="2" s="1"/>
  <c r="Z7" i="2"/>
  <c r="AA7" i="2" s="1"/>
  <c r="AB7" i="2" s="1"/>
  <c r="H12" i="2"/>
  <c r="I12" i="2" s="1"/>
  <c r="J12" i="2" s="1"/>
  <c r="Z6" i="2"/>
  <c r="AA6" i="2" s="1"/>
  <c r="AB6" i="2" s="1"/>
  <c r="Z5" i="2"/>
  <c r="AA5" i="2" s="1"/>
  <c r="AB5" i="2" s="1"/>
  <c r="Z4" i="2"/>
  <c r="AA4" i="2" s="1"/>
  <c r="AB4" i="2" s="1"/>
  <c r="B12" i="2"/>
  <c r="C12" i="2" s="1"/>
  <c r="D12" i="2" s="1"/>
  <c r="Z3" i="2"/>
  <c r="AA3" i="2" s="1"/>
  <c r="AB3" i="2" s="1"/>
  <c r="AC3" i="2" s="1"/>
  <c r="AD3" i="2" s="1"/>
  <c r="T9" i="2"/>
  <c r="U9" i="2" s="1"/>
  <c r="V9" i="2" s="1"/>
  <c r="AF11" i="2"/>
  <c r="AG11" i="2" s="1"/>
  <c r="AH11" i="2" s="1"/>
  <c r="T8" i="2"/>
  <c r="U8" i="2" s="1"/>
  <c r="V8" i="2" s="1"/>
  <c r="W8" i="2" s="1"/>
  <c r="T7" i="2"/>
  <c r="U7" i="2" s="1"/>
  <c r="V7" i="2" s="1"/>
  <c r="Z11" i="2"/>
  <c r="AA11" i="2" s="1"/>
  <c r="AB11" i="2" s="1"/>
  <c r="T6" i="2"/>
  <c r="U6" i="2" s="1"/>
  <c r="V6" i="2" s="1"/>
  <c r="T5" i="2"/>
  <c r="U5" i="2" s="1"/>
  <c r="V5" i="2" s="1"/>
  <c r="T11" i="2"/>
  <c r="U11" i="2" s="1"/>
  <c r="V11" i="2" s="1"/>
  <c r="T3" i="2"/>
  <c r="U3" i="2" s="1"/>
  <c r="V3" i="2" s="1"/>
  <c r="W3" i="2" s="1"/>
  <c r="X3" i="2" s="1"/>
  <c r="N9" i="2"/>
  <c r="O9" i="2" s="1"/>
  <c r="P9" i="2" s="1"/>
  <c r="N11" i="2"/>
  <c r="O11" i="2" s="1"/>
  <c r="P11" i="2" s="1"/>
  <c r="N8" i="2"/>
  <c r="O8" i="2" s="1"/>
  <c r="P8" i="2" s="1"/>
  <c r="N7" i="2"/>
  <c r="O7" i="2" s="1"/>
  <c r="P7" i="2" s="1"/>
  <c r="Q7" i="2" s="1"/>
  <c r="N6" i="2"/>
  <c r="O6" i="2" s="1"/>
  <c r="P6" i="2" s="1"/>
  <c r="H11" i="2"/>
  <c r="I11" i="2" s="1"/>
  <c r="J11" i="2" s="1"/>
  <c r="N5" i="2"/>
  <c r="O5" i="2" s="1"/>
  <c r="P5" i="2" s="1"/>
  <c r="N3" i="2"/>
  <c r="O3" i="2" s="1"/>
  <c r="P3" i="2" s="1"/>
  <c r="Q3" i="2" s="1"/>
  <c r="R3" i="2" s="1"/>
  <c r="B11" i="2"/>
  <c r="C11" i="2" s="1"/>
  <c r="D11" i="2" s="1"/>
  <c r="H9" i="2"/>
  <c r="I9" i="2" s="1"/>
  <c r="J9" i="2" s="1"/>
  <c r="K9" i="2" s="1"/>
  <c r="H8" i="2"/>
  <c r="I8" i="2" s="1"/>
  <c r="J8" i="2" s="1"/>
  <c r="H7" i="2"/>
  <c r="I7" i="2" s="1"/>
  <c r="J7" i="2" s="1"/>
  <c r="AF10" i="2"/>
  <c r="AG10" i="2" s="1"/>
  <c r="AH10" i="2" s="1"/>
  <c r="AI10" i="2" s="1"/>
  <c r="H6" i="2"/>
  <c r="I6" i="2" s="1"/>
  <c r="J6" i="2" s="1"/>
  <c r="K6" i="2" s="1"/>
  <c r="H5" i="2"/>
  <c r="I5" i="2" s="1"/>
  <c r="J5" i="2" s="1"/>
  <c r="Z10" i="2"/>
  <c r="AA10" i="2" s="1"/>
  <c r="AB10" i="2" s="1"/>
  <c r="AC10" i="2" s="1"/>
  <c r="H4" i="2"/>
  <c r="I4" i="2" s="1"/>
  <c r="J4" i="2" s="1"/>
  <c r="H3" i="2"/>
  <c r="I3" i="2" s="1"/>
  <c r="J3" i="2" s="1"/>
  <c r="K3" i="2" s="1"/>
  <c r="L3" i="2" s="1"/>
  <c r="T10" i="2"/>
  <c r="U10" i="2" s="1"/>
  <c r="V10" i="2" s="1"/>
  <c r="W10" i="2" s="1"/>
  <c r="B9" i="2"/>
  <c r="C9" i="2" s="1"/>
  <c r="D9" i="2" s="1"/>
  <c r="N10" i="2"/>
  <c r="O10" i="2" s="1"/>
  <c r="P10" i="2" s="1"/>
  <c r="Q10" i="2" s="1"/>
  <c r="B8" i="2"/>
  <c r="C8" i="2" s="1"/>
  <c r="D8" i="2" s="1"/>
  <c r="B7" i="2"/>
  <c r="C7" i="2" s="1"/>
  <c r="D7" i="2" s="1"/>
  <c r="B6" i="2"/>
  <c r="C6" i="2" s="1"/>
  <c r="D6" i="2" s="1"/>
  <c r="H10" i="2"/>
  <c r="I10" i="2" s="1"/>
  <c r="J10" i="2" s="1"/>
  <c r="B5" i="2"/>
  <c r="C5" i="2" s="1"/>
  <c r="D5" i="2" s="1"/>
  <c r="E5" i="2" s="1"/>
  <c r="B4" i="2"/>
  <c r="C4" i="2" s="1"/>
  <c r="D4" i="2" s="1"/>
  <c r="B10" i="2"/>
  <c r="C10" i="2" s="1"/>
  <c r="D10" i="2" s="1"/>
  <c r="E10" i="2" s="1"/>
  <c r="B3" i="2"/>
  <c r="C3" i="2" s="1"/>
  <c r="D3" i="2" s="1"/>
  <c r="E3" i="2" s="1"/>
  <c r="F3" i="2" s="1"/>
  <c r="AF14" i="1"/>
  <c r="AG14" i="1" s="1"/>
  <c r="AH14" i="1" s="1"/>
  <c r="Z14" i="1"/>
  <c r="T14" i="1"/>
  <c r="U14" i="1" s="1"/>
  <c r="V14" i="1" s="1"/>
  <c r="W15" i="1" s="1"/>
  <c r="N14" i="1"/>
  <c r="O14" i="1" s="1"/>
  <c r="P14" i="1" s="1"/>
  <c r="Q15" i="1" s="1"/>
  <c r="H14" i="1"/>
  <c r="I14" i="1" s="1"/>
  <c r="J14" i="1" s="1"/>
  <c r="B14" i="1"/>
  <c r="C14" i="1" s="1"/>
  <c r="D14" i="1" s="1"/>
  <c r="AF12" i="1"/>
  <c r="AG12" i="1" s="1"/>
  <c r="AH12" i="1" s="1"/>
  <c r="Z12" i="1"/>
  <c r="AA12" i="1" s="1"/>
  <c r="AB12" i="1" s="1"/>
  <c r="T12" i="1"/>
  <c r="U12" i="1" s="1"/>
  <c r="V12" i="1" s="1"/>
  <c r="N12" i="1"/>
  <c r="O12" i="1" s="1"/>
  <c r="P12" i="1" s="1"/>
  <c r="AF9" i="1"/>
  <c r="AG9" i="1" s="1"/>
  <c r="AH9" i="1" s="1"/>
  <c r="AF8" i="1"/>
  <c r="AG8" i="1" s="1"/>
  <c r="AH8" i="1" s="1"/>
  <c r="AF7" i="1"/>
  <c r="AG7" i="1" s="1"/>
  <c r="AH7" i="1" s="1"/>
  <c r="H12" i="1"/>
  <c r="I12" i="1" s="1"/>
  <c r="J12" i="1" s="1"/>
  <c r="AF6" i="1"/>
  <c r="AG6" i="1" s="1"/>
  <c r="AH6" i="1" s="1"/>
  <c r="B12" i="1"/>
  <c r="C12" i="1" s="1"/>
  <c r="D12" i="1" s="1"/>
  <c r="Z9" i="1"/>
  <c r="AA9" i="1" s="1"/>
  <c r="AB9" i="1" s="1"/>
  <c r="AF13" i="1"/>
  <c r="AG13" i="1" s="1"/>
  <c r="AH13" i="1" s="1"/>
  <c r="Z8" i="1"/>
  <c r="AA8" i="1" s="1"/>
  <c r="AB8" i="1" s="1"/>
  <c r="Z13" i="1"/>
  <c r="AA13" i="1" s="1"/>
  <c r="AB13" i="1" s="1"/>
  <c r="AC13" i="1" s="1"/>
  <c r="Z7" i="1"/>
  <c r="AA7" i="1" s="1"/>
  <c r="AB7" i="1" s="1"/>
  <c r="T13" i="1"/>
  <c r="U13" i="1" s="1"/>
  <c r="V13" i="1" s="1"/>
  <c r="Z6" i="1"/>
  <c r="AA6" i="1" s="1"/>
  <c r="AB6" i="1" s="1"/>
  <c r="N13" i="1"/>
  <c r="O13" i="1" s="1"/>
  <c r="P13" i="1" s="1"/>
  <c r="Z5" i="1"/>
  <c r="AA5" i="1" s="1"/>
  <c r="AB5" i="1" s="1"/>
  <c r="H13" i="1"/>
  <c r="I13" i="1" s="1"/>
  <c r="J13" i="1" s="1"/>
  <c r="Z4" i="1"/>
  <c r="AA4" i="1" s="1"/>
  <c r="AB4" i="1" s="1"/>
  <c r="T9" i="1"/>
  <c r="U9" i="1" s="1"/>
  <c r="V9" i="1" s="1"/>
  <c r="B13" i="1"/>
  <c r="C13" i="1" s="1"/>
  <c r="D13" i="1" s="1"/>
  <c r="E13" i="1" s="1"/>
  <c r="T8" i="1"/>
  <c r="U8" i="1" s="1"/>
  <c r="V8" i="1" s="1"/>
  <c r="AF11" i="1"/>
  <c r="AG11" i="1" s="1"/>
  <c r="AH11" i="1" s="1"/>
  <c r="T7" i="1"/>
  <c r="U7" i="1" s="1"/>
  <c r="V7" i="1" s="1"/>
  <c r="T6" i="1"/>
  <c r="U6" i="1" s="1"/>
  <c r="V6" i="1" s="1"/>
  <c r="Z11" i="1"/>
  <c r="AA11" i="1" s="1"/>
  <c r="AB11" i="1" s="1"/>
  <c r="T5" i="1"/>
  <c r="U5" i="1" s="1"/>
  <c r="V5" i="1" s="1"/>
  <c r="T11" i="1"/>
  <c r="U11" i="1" s="1"/>
  <c r="V11" i="1" s="1"/>
  <c r="N9" i="1"/>
  <c r="O9" i="1" s="1"/>
  <c r="P9" i="1" s="1"/>
  <c r="N8" i="1"/>
  <c r="O8" i="1" s="1"/>
  <c r="P8" i="1" s="1"/>
  <c r="N11" i="1"/>
  <c r="O11" i="1" s="1"/>
  <c r="P11" i="1" s="1"/>
  <c r="N7" i="1"/>
  <c r="O7" i="1" s="1"/>
  <c r="P7" i="1" s="1"/>
  <c r="N6" i="1"/>
  <c r="O6" i="1" s="1"/>
  <c r="P6" i="1" s="1"/>
  <c r="H11" i="1"/>
  <c r="I11" i="1" s="1"/>
  <c r="J11" i="1" s="1"/>
  <c r="N5" i="1"/>
  <c r="O5" i="1" s="1"/>
  <c r="P5" i="1" s="1"/>
  <c r="N4" i="1"/>
  <c r="O4" i="1" s="1"/>
  <c r="P4" i="1" s="1"/>
  <c r="B11" i="1"/>
  <c r="C11" i="1" s="1"/>
  <c r="D11" i="1" s="1"/>
  <c r="H9" i="1"/>
  <c r="I9" i="1" s="1"/>
  <c r="J9" i="1" s="1"/>
  <c r="H8" i="1"/>
  <c r="I8" i="1" s="1"/>
  <c r="J8" i="1" s="1"/>
  <c r="AF10" i="1"/>
  <c r="AG10" i="1" s="1"/>
  <c r="AH10" i="1" s="1"/>
  <c r="AI10" i="1" s="1"/>
  <c r="H7" i="1"/>
  <c r="I7" i="1" s="1"/>
  <c r="J7" i="1" s="1"/>
  <c r="H6" i="1"/>
  <c r="I6" i="1" s="1"/>
  <c r="J6" i="1" s="1"/>
  <c r="Z10" i="1"/>
  <c r="AA10" i="1" s="1"/>
  <c r="AB10" i="1" s="1"/>
  <c r="H5" i="1"/>
  <c r="I5" i="1" s="1"/>
  <c r="J5" i="1" s="1"/>
  <c r="T10" i="1"/>
  <c r="U10" i="1" s="1"/>
  <c r="V10" i="1" s="1"/>
  <c r="B9" i="1"/>
  <c r="C9" i="1" s="1"/>
  <c r="D9" i="1" s="1"/>
  <c r="B8" i="1"/>
  <c r="C8" i="1" s="1"/>
  <c r="D8" i="1" s="1"/>
  <c r="B7" i="1"/>
  <c r="C7" i="1" s="1"/>
  <c r="D7" i="1" s="1"/>
  <c r="B6" i="1"/>
  <c r="C6" i="1" s="1"/>
  <c r="D6" i="1" s="1"/>
  <c r="H10" i="1"/>
  <c r="I10" i="1" s="1"/>
  <c r="J10" i="1" s="1"/>
  <c r="B4" i="1"/>
  <c r="C4" i="1" s="1"/>
  <c r="D4" i="1" s="1"/>
  <c r="B10" i="1"/>
  <c r="C10" i="1" s="1"/>
  <c r="D10" i="1" s="1"/>
  <c r="E10" i="1" s="1"/>
  <c r="AF3" i="1"/>
  <c r="AG3" i="1" s="1"/>
  <c r="AH3" i="1" s="1"/>
  <c r="AI3" i="1" s="1"/>
  <c r="AJ3" i="1" s="1"/>
  <c r="Z3" i="1"/>
  <c r="AA3" i="1" s="1"/>
  <c r="AB3" i="1" s="1"/>
  <c r="AC3" i="1" s="1"/>
  <c r="AD3" i="1" s="1"/>
  <c r="T3" i="1"/>
  <c r="U3" i="1" s="1"/>
  <c r="V3" i="1" s="1"/>
  <c r="W3" i="1" s="1"/>
  <c r="X3" i="1" s="1"/>
  <c r="N3" i="1"/>
  <c r="O3" i="1" s="1"/>
  <c r="P3" i="1" s="1"/>
  <c r="Q3" i="1" s="1"/>
  <c r="R3" i="1" s="1"/>
  <c r="H3" i="1"/>
  <c r="I3" i="1" s="1"/>
  <c r="J3" i="1" s="1"/>
  <c r="K3" i="1" s="1"/>
  <c r="L3" i="1" s="1"/>
  <c r="B3" i="1"/>
  <c r="C3" i="1" s="1"/>
  <c r="D3" i="1" s="1"/>
  <c r="E3" i="1" s="1"/>
  <c r="K10" i="2" l="1"/>
  <c r="F3" i="1"/>
  <c r="K5" i="3"/>
  <c r="L5" i="3" s="1"/>
  <c r="K7" i="1"/>
  <c r="K8" i="1" s="1"/>
  <c r="K23" i="2"/>
  <c r="E14" i="2"/>
  <c r="AC10" i="1"/>
  <c r="Q20" i="1"/>
  <c r="Q13" i="1"/>
  <c r="Q14" i="1" s="1"/>
  <c r="Q9" i="1"/>
  <c r="Q16" i="2"/>
  <c r="AC16" i="3"/>
  <c r="K10" i="1"/>
  <c r="E7" i="1"/>
  <c r="E8" i="1" s="1"/>
  <c r="E9" i="1"/>
  <c r="K9" i="1"/>
  <c r="Q4" i="1"/>
  <c r="K11" i="1"/>
  <c r="Q7" i="1"/>
  <c r="Q8" i="1" s="1"/>
  <c r="W11" i="1"/>
  <c r="AC11" i="1"/>
  <c r="W7" i="1"/>
  <c r="W8" i="1" s="1"/>
  <c r="W9" i="1"/>
  <c r="K13" i="1"/>
  <c r="W13" i="1"/>
  <c r="AI13" i="1"/>
  <c r="E12" i="1"/>
  <c r="K12" i="1"/>
  <c r="Q12" i="1"/>
  <c r="AC12" i="1"/>
  <c r="E14" i="1"/>
  <c r="E4" i="2"/>
  <c r="F4" i="2" s="1"/>
  <c r="F5" i="2" s="1"/>
  <c r="E7" i="2"/>
  <c r="K4" i="2"/>
  <c r="L4" i="2" s="1"/>
  <c r="E11" i="2"/>
  <c r="Q6" i="2"/>
  <c r="Q8" i="2"/>
  <c r="Q9" i="2"/>
  <c r="W11" i="2"/>
  <c r="W6" i="2"/>
  <c r="W7" i="2"/>
  <c r="AI11" i="2"/>
  <c r="AC4" i="2"/>
  <c r="AD4" i="2" s="1"/>
  <c r="AC7" i="2"/>
  <c r="AC8" i="2" s="1"/>
  <c r="W12" i="2"/>
  <c r="AC12" i="2"/>
  <c r="AC13" i="2" s="1"/>
  <c r="AC14" i="2" s="1"/>
  <c r="AI6" i="2"/>
  <c r="AI7" i="2"/>
  <c r="E13" i="2"/>
  <c r="K13" i="2"/>
  <c r="W13" i="2"/>
  <c r="AI13" i="2"/>
  <c r="W14" i="2"/>
  <c r="AI14" i="2"/>
  <c r="E9" i="3"/>
  <c r="K8" i="3"/>
  <c r="K9" i="3"/>
  <c r="E11" i="3"/>
  <c r="K11" i="3"/>
  <c r="W4" i="3"/>
  <c r="X4" i="3" s="1"/>
  <c r="W9" i="3"/>
  <c r="AI11" i="3"/>
  <c r="AC7" i="3"/>
  <c r="K12" i="3"/>
  <c r="AC12" i="3"/>
  <c r="AI12" i="3"/>
  <c r="K13" i="3"/>
  <c r="W13" i="3"/>
  <c r="AI13" i="3"/>
  <c r="K14" i="3"/>
  <c r="K15" i="3" s="1"/>
  <c r="W14" i="3"/>
  <c r="AI14" i="3"/>
  <c r="E20" i="2"/>
  <c r="Q4" i="3"/>
  <c r="R4" i="3" s="1"/>
  <c r="W4" i="2"/>
  <c r="X4" i="2" s="1"/>
  <c r="AI15" i="3"/>
  <c r="AI15" i="2"/>
  <c r="K15" i="2"/>
  <c r="AI4" i="3"/>
  <c r="AJ4" i="3" s="1"/>
  <c r="AI4" i="2"/>
  <c r="AJ4" i="2" s="1"/>
  <c r="E15" i="1"/>
  <c r="K4" i="1"/>
  <c r="L4" i="1" s="1"/>
  <c r="E4" i="1"/>
  <c r="F4" i="1" s="1"/>
  <c r="W10" i="1"/>
  <c r="E11" i="1"/>
  <c r="Q11" i="1"/>
  <c r="AI11" i="1"/>
  <c r="AC4" i="1"/>
  <c r="AD4" i="1" s="1"/>
  <c r="AC7" i="1"/>
  <c r="AC9" i="1"/>
  <c r="AI7" i="1"/>
  <c r="AI8" i="1" s="1"/>
  <c r="AI9" i="1"/>
  <c r="W12" i="1"/>
  <c r="AI12" i="1"/>
  <c r="K14" i="1"/>
  <c r="W14" i="1"/>
  <c r="AI14" i="1"/>
  <c r="E6" i="2"/>
  <c r="E9" i="2"/>
  <c r="K7" i="2"/>
  <c r="K11" i="2"/>
  <c r="Q11" i="2"/>
  <c r="W5" i="2"/>
  <c r="X5" i="2" s="1"/>
  <c r="AC11" i="2"/>
  <c r="W9" i="2"/>
  <c r="E12" i="2"/>
  <c r="K12" i="2"/>
  <c r="Q12" i="2"/>
  <c r="AI12" i="2"/>
  <c r="AI9" i="2"/>
  <c r="Q13" i="2"/>
  <c r="Q14" i="2"/>
  <c r="E8" i="3"/>
  <c r="W10" i="3"/>
  <c r="Q11" i="3"/>
  <c r="W11" i="3"/>
  <c r="E12" i="3"/>
  <c r="AC11" i="3"/>
  <c r="W12" i="3"/>
  <c r="AI9" i="3"/>
  <c r="E13" i="3"/>
  <c r="AC13" i="3"/>
  <c r="AC14" i="3"/>
  <c r="AC15" i="2"/>
  <c r="E15" i="2"/>
  <c r="E6" i="3"/>
  <c r="F6" i="3" s="1"/>
  <c r="F7" i="3" s="1"/>
  <c r="F8" i="3" s="1"/>
  <c r="F9" i="3" s="1"/>
  <c r="F10" i="3" s="1"/>
  <c r="F11" i="3" s="1"/>
  <c r="F12" i="3" s="1"/>
  <c r="F13" i="3" s="1"/>
  <c r="AI4" i="1"/>
  <c r="AJ4" i="1" s="1"/>
  <c r="W15" i="3"/>
  <c r="W15" i="2"/>
  <c r="AI15" i="1"/>
  <c r="AC4" i="3"/>
  <c r="AD4" i="3" s="1"/>
  <c r="K15" i="1"/>
  <c r="Q10" i="1"/>
  <c r="Q24" i="2"/>
  <c r="W4" i="1"/>
  <c r="X4" i="1" s="1"/>
  <c r="Q4" i="2"/>
  <c r="R4" i="2" s="1"/>
  <c r="K6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AA14" i="1"/>
  <c r="AB14" i="1" s="1"/>
  <c r="X6" i="2" l="1"/>
  <c r="X7" i="2" s="1"/>
  <c r="X8" i="2" s="1"/>
  <c r="X9" i="2" s="1"/>
  <c r="X10" i="2" s="1"/>
  <c r="X11" i="2" s="1"/>
  <c r="X12" i="2" s="1"/>
  <c r="X13" i="2" s="1"/>
  <c r="X14" i="2" s="1"/>
  <c r="X15" i="2" s="1"/>
  <c r="W5" i="3"/>
  <c r="X5" i="3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AJ6" i="2"/>
  <c r="AJ7" i="2" s="1"/>
  <c r="AJ8" i="2" s="1"/>
  <c r="AJ9" i="2" s="1"/>
  <c r="AJ10" i="2" s="1"/>
  <c r="AJ11" i="2" s="1"/>
  <c r="AJ12" i="2" s="1"/>
  <c r="AJ13" i="2" s="1"/>
  <c r="AJ14" i="2" s="1"/>
  <c r="AJ15" i="2" s="1"/>
  <c r="Q5" i="1"/>
  <c r="R4" i="1"/>
  <c r="W5" i="1"/>
  <c r="X5" i="1" s="1"/>
  <c r="K5" i="1"/>
  <c r="L5" i="1" s="1"/>
  <c r="K24" i="2"/>
  <c r="AI5" i="1"/>
  <c r="AJ5" i="1" s="1"/>
  <c r="E5" i="1"/>
  <c r="F5" i="1" s="1"/>
  <c r="W16" i="3"/>
  <c r="E16" i="2"/>
  <c r="AI10" i="3"/>
  <c r="K8" i="2"/>
  <c r="K16" i="2"/>
  <c r="AI16" i="3"/>
  <c r="Q5" i="3"/>
  <c r="R5" i="3" s="1"/>
  <c r="Q12" i="3"/>
  <c r="AC8" i="3"/>
  <c r="K14" i="2"/>
  <c r="K5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E8" i="2"/>
  <c r="Q5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AI5" i="2"/>
  <c r="AJ5" i="2" s="1"/>
  <c r="AC8" i="1"/>
  <c r="AC14" i="1"/>
  <c r="AC15" i="1"/>
  <c r="AC5" i="3"/>
  <c r="AD5" i="3" s="1"/>
  <c r="W16" i="2"/>
  <c r="AI6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C16" i="2"/>
  <c r="E14" i="3"/>
  <c r="F14" i="3" s="1"/>
  <c r="AI5" i="3"/>
  <c r="AJ5" i="3" s="1"/>
  <c r="AI16" i="2"/>
  <c r="AC5" i="2"/>
  <c r="AD5" i="2" s="1"/>
  <c r="AC5" i="1"/>
  <c r="AD5" i="1" s="1"/>
  <c r="AJ16" i="2" l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X16" i="2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W6" i="3"/>
  <c r="X6" i="3" s="1"/>
  <c r="Q6" i="1"/>
  <c r="R5" i="1"/>
  <c r="K25" i="2"/>
  <c r="K26" i="2" s="1"/>
  <c r="K27" i="2" s="1"/>
  <c r="K28" i="2" s="1"/>
  <c r="K29" i="2" s="1"/>
  <c r="E6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K6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W6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AC6" i="2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I6" i="3"/>
  <c r="AJ6" i="3" s="1"/>
  <c r="E15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AC6" i="3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Q6" i="3"/>
  <c r="R6" i="3" s="1"/>
  <c r="AC6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W7" i="3"/>
  <c r="Q13" i="3"/>
  <c r="X7" i="3" l="1"/>
  <c r="L25" i="2"/>
  <c r="L26" i="2" s="1"/>
  <c r="L27" i="2" s="1"/>
  <c r="L28" i="2" s="1"/>
  <c r="L29" i="2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W8" i="3"/>
  <c r="Q7" i="3"/>
  <c r="R7" i="3" s="1"/>
  <c r="AI7" i="3"/>
  <c r="AJ7" i="3" s="1"/>
  <c r="Q14" i="3"/>
  <c r="X8" i="3" l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Q15" i="3"/>
  <c r="AI8" i="3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Q8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</calcChain>
</file>

<file path=xl/sharedStrings.xml><?xml version="1.0" encoding="utf-8"?>
<sst xmlns="http://schemas.openxmlformats.org/spreadsheetml/2006/main" count="336" uniqueCount="61">
  <si>
    <t>time(h)</t>
    <phoneticPr fontId="1" type="noConversion"/>
  </si>
  <si>
    <t>S1</t>
    <phoneticPr fontId="1" type="noConversion"/>
  </si>
  <si>
    <t>S2</t>
    <phoneticPr fontId="1" type="noConversion"/>
  </si>
  <si>
    <t>Con.f</t>
    <phoneticPr fontId="1" type="noConversion"/>
  </si>
  <si>
    <t>Con.i</t>
    <phoneticPr fontId="1" type="noConversion"/>
  </si>
  <si>
    <t>S3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</si>
  <si>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</si>
  <si>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</si>
  <si>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</si>
  <si>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2.1mg</t>
    <phoneticPr fontId="1" type="noConversion"/>
  </si>
  <si>
    <t>2.4mg</t>
    <phoneticPr fontId="1" type="noConversion"/>
  </si>
  <si>
    <t>1.9mg</t>
    <phoneticPr fontId="1" type="noConversion"/>
  </si>
  <si>
    <t>2.7mg</t>
    <phoneticPr fontId="1" type="noConversion"/>
  </si>
  <si>
    <t>1.5mg</t>
    <phoneticPr fontId="1" type="noConversion"/>
  </si>
  <si>
    <t>2.2mg</t>
    <phoneticPr fontId="1" type="noConversion"/>
  </si>
  <si>
    <t>Theoretical ratio (%)</t>
    <phoneticPr fontId="1" type="noConversion"/>
  </si>
  <si>
    <t>Theoretical Ration(%)</t>
    <phoneticPr fontId="1" type="noConversion"/>
  </si>
  <si>
    <t>Cum.Amount (mg)</t>
    <phoneticPr fontId="1" type="noConversion"/>
  </si>
  <si>
    <t>Theoretical Ratio(%)</t>
    <phoneticPr fontId="1" type="noConversion"/>
  </si>
  <si>
    <t>Cum.Amount (mg)</t>
  </si>
  <si>
    <t>Theoretical ratio (%)</t>
  </si>
  <si>
    <t>Theoretical Ratio(%)</t>
  </si>
  <si>
    <t>Theoretical Ration(%)</t>
  </si>
  <si>
    <t>time</t>
    <phoneticPr fontId="1" type="noConversion"/>
  </si>
  <si>
    <t>S1</t>
  </si>
  <si>
    <t>S2</t>
  </si>
  <si>
    <t>ratio</t>
  </si>
  <si>
    <t>time</t>
  </si>
  <si>
    <t>equation</t>
  </si>
  <si>
    <t>S3</t>
  </si>
  <si>
    <t>Time</t>
  </si>
  <si>
    <t>C1</t>
  </si>
  <si>
    <t>C2</t>
  </si>
  <si>
    <t>C3</t>
  </si>
  <si>
    <t>c3</t>
  </si>
  <si>
    <t>Yd</t>
    <phoneticPr fontId="1" type="noConversion"/>
  </si>
  <si>
    <t>Ye=kt^n</t>
    <phoneticPr fontId="1" type="noConversion"/>
  </si>
  <si>
    <t>R^2</t>
    <phoneticPr fontId="1" type="noConversion"/>
  </si>
  <si>
    <t>Yd</t>
    <phoneticPr fontId="1" type="noConversion"/>
  </si>
  <si>
    <t>Ye</t>
    <phoneticPr fontId="1" type="noConversion"/>
  </si>
  <si>
    <t>S AveYe</t>
    <phoneticPr fontId="1" type="noConversion"/>
  </si>
  <si>
    <t>C AveYe</t>
    <phoneticPr fontId="1" type="noConversion"/>
  </si>
  <si>
    <t>Time</t>
    <phoneticPr fontId="1" type="noConversion"/>
  </si>
  <si>
    <t>Yd</t>
  </si>
  <si>
    <t>Ye=kt^n</t>
  </si>
  <si>
    <t>R^2</t>
  </si>
  <si>
    <t>Ye</t>
  </si>
  <si>
    <t>Abs Yd-Ye</t>
  </si>
  <si>
    <t>abs(Yd-Ye)</t>
  </si>
  <si>
    <t>Time (hr)</t>
  </si>
  <si>
    <t>PCL-Pna</t>
  </si>
  <si>
    <t>S1 C3 's n over 1</t>
  </si>
  <si>
    <t>PEG-Pna</t>
  </si>
  <si>
    <t>ABS ?</t>
  </si>
  <si>
    <t>PCL-MB</t>
  </si>
  <si>
    <t>Equ ?</t>
  </si>
  <si>
    <t>PEG-MB</t>
  </si>
  <si>
    <t>C1 2 3</t>
  </si>
  <si>
    <t>Graph with error bar</t>
  </si>
  <si>
    <t>AVG_S1-S3</t>
  </si>
  <si>
    <t>AVG_C1-C3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</si>
</sst>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The</a:t>
            </a:r>
            <a:r>
              <a:rPr lang="en-US" altLang="en-US" baseline="0"/>
              <a:t> percent release of PNa with PCl in enzyme over time</a:t>
            </a:r>
            <a:endParaRPr lang="en-US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01910624924934"/>
          <c:y val="0.28142989264563889"/>
          <c:w val="0.72384922595975065"/>
          <c:h val="0.51845462860296199"/>
        </c:manualLayout>
      </c:layout>
      <c:scatterChart>
        <c:scatterStyle val="lineMarker"/>
        <c:varyColors val="0"/>
        <c:ser>
          <c:idx val="0"/>
          <c:order val="0"/>
          <c:tx>
            <c:v>S1</c:v>
          </c:tx>
          <c:xVal>
            <c:numRef>
              <c:f>'PCL-PNa'!$A$3:$A$29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'PCL-PNa'!$F$3:$F$29</c:f>
              <c:numCache>
                <c:formatCode>General</c:formatCode>
                <c:ptCount val="27"/>
                <c:pt idx="0">
                  <c:v>5.8615828882863201E-3</c:v>
                </c:pt>
                <c:pt idx="1">
                  <c:v>1.5679956801872917E-2</c:v>
                </c:pt>
                <c:pt idx="2">
                  <c:v>2.9937307916938029E-2</c:v>
                </c:pt>
                <c:pt idx="3">
                  <c:v>4.2506950031579074E-2</c:v>
                </c:pt>
                <c:pt idx="4">
                  <c:v>4.8408288308196788E-2</c:v>
                </c:pt>
                <c:pt idx="5">
                  <c:v>6.9383008857035244E-2</c:v>
                </c:pt>
                <c:pt idx="6">
                  <c:v>7.0263823373944573E-2</c:v>
                </c:pt>
                <c:pt idx="7">
                  <c:v>8.2143860053218984E-2</c:v>
                </c:pt>
                <c:pt idx="8">
                  <c:v>8.2931885838580466E-2</c:v>
                </c:pt>
                <c:pt idx="9">
                  <c:v>9.1918674104794137E-2</c:v>
                </c:pt>
                <c:pt idx="10">
                  <c:v>0.10377544918268296</c:v>
                </c:pt>
                <c:pt idx="11">
                  <c:v>0.11925576480661912</c:v>
                </c:pt>
                <c:pt idx="12">
                  <c:v>0.1199127226455978</c:v>
                </c:pt>
                <c:pt idx="13">
                  <c:v>0.14133552054029647</c:v>
                </c:pt>
                <c:pt idx="14">
                  <c:v>0.16694567811548591</c:v>
                </c:pt>
                <c:pt idx="15">
                  <c:v>0.17625413613226604</c:v>
                </c:pt>
                <c:pt idx="16">
                  <c:v>0.18027846948538531</c:v>
                </c:pt>
                <c:pt idx="17">
                  <c:v>0.22221318949832347</c:v>
                </c:pt>
                <c:pt idx="18">
                  <c:v>0.23657539367521649</c:v>
                </c:pt>
                <c:pt idx="19">
                  <c:v>0.28546703416318009</c:v>
                </c:pt>
                <c:pt idx="20">
                  <c:v>0.33376632485958391</c:v>
                </c:pt>
                <c:pt idx="21">
                  <c:v>0.40083285174049865</c:v>
                </c:pt>
                <c:pt idx="22">
                  <c:v>0.47701245233771594</c:v>
                </c:pt>
                <c:pt idx="23">
                  <c:v>0.56483925530427992</c:v>
                </c:pt>
                <c:pt idx="24">
                  <c:v>0.70319497614287563</c:v>
                </c:pt>
                <c:pt idx="25">
                  <c:v>0.83506554415792311</c:v>
                </c:pt>
                <c:pt idx="26">
                  <c:v>0.99999718139845961</c:v>
                </c:pt>
              </c:numCache>
            </c:numRef>
          </c:yVal>
          <c:smooth val="0"/>
        </c:ser>
        <c:ser>
          <c:idx val="1"/>
          <c:order val="1"/>
          <c:tx>
            <c:v>S2</c:v>
          </c:tx>
          <c:xVal>
            <c:numRef>
              <c:f>'PCL-PNa'!$A$3:$A$29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'PCL-PNa'!$L$3:$L$29</c:f>
              <c:numCache>
                <c:formatCode>General</c:formatCode>
                <c:ptCount val="27"/>
                <c:pt idx="0">
                  <c:v>6.8891555561409225E-3</c:v>
                </c:pt>
                <c:pt idx="1">
                  <c:v>9.8114535026297238E-3</c:v>
                </c:pt>
                <c:pt idx="2">
                  <c:v>2.1454718628080648E-2</c:v>
                </c:pt>
                <c:pt idx="3">
                  <c:v>3.2380494350178333E-2</c:v>
                </c:pt>
                <c:pt idx="4">
                  <c:v>4.0302458343244078E-2</c:v>
                </c:pt>
                <c:pt idx="5">
                  <c:v>7.3947017733117834E-2</c:v>
                </c:pt>
                <c:pt idx="6">
                  <c:v>7.3947017733117834E-2</c:v>
                </c:pt>
                <c:pt idx="7">
                  <c:v>8.2958640947045997E-2</c:v>
                </c:pt>
                <c:pt idx="8">
                  <c:v>9.4132982675665125E-2</c:v>
                </c:pt>
                <c:pt idx="9">
                  <c:v>9.9304232994129604E-2</c:v>
                </c:pt>
                <c:pt idx="10">
                  <c:v>0.11200683719041959</c:v>
                </c:pt>
                <c:pt idx="11">
                  <c:v>0.13076749868265536</c:v>
                </c:pt>
                <c:pt idx="12">
                  <c:v>0.13365324104786988</c:v>
                </c:pt>
                <c:pt idx="13">
                  <c:v>0.1478838708474286</c:v>
                </c:pt>
                <c:pt idx="14">
                  <c:v>0.16727831663423554</c:v>
                </c:pt>
                <c:pt idx="15">
                  <c:v>0.18950281593582041</c:v>
                </c:pt>
                <c:pt idx="16">
                  <c:v>0.21403060250774272</c:v>
                </c:pt>
                <c:pt idx="17">
                  <c:v>0.23934953958047156</c:v>
                </c:pt>
                <c:pt idx="18">
                  <c:v>0.26601905327890707</c:v>
                </c:pt>
                <c:pt idx="19">
                  <c:v>0.27386361274358995</c:v>
                </c:pt>
                <c:pt idx="20">
                  <c:v>0.30912187510307282</c:v>
                </c:pt>
                <c:pt idx="21">
                  <c:v>0.3757484329138544</c:v>
                </c:pt>
                <c:pt idx="22">
                  <c:v>0.45674876022063166</c:v>
                </c:pt>
                <c:pt idx="23">
                  <c:v>0.55290077272998317</c:v>
                </c:pt>
                <c:pt idx="24">
                  <c:v>0.6529862987269498</c:v>
                </c:pt>
                <c:pt idx="25">
                  <c:v>0.81040724405337938</c:v>
                </c:pt>
                <c:pt idx="26">
                  <c:v>0.99999999993084843</c:v>
                </c:pt>
              </c:numCache>
            </c:numRef>
          </c:yVal>
          <c:smooth val="0"/>
        </c:ser>
        <c:ser>
          <c:idx val="2"/>
          <c:order val="2"/>
          <c:tx>
            <c:v>S3</c:v>
          </c:tx>
          <c:xVal>
            <c:numRef>
              <c:f>'PCL-PNa'!$A$3:$A$29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'PCL-PNa'!$R$3:$R$29</c:f>
              <c:numCache>
                <c:formatCode>General</c:formatCode>
                <c:ptCount val="27"/>
                <c:pt idx="0">
                  <c:v>8.0621290016423541E-3</c:v>
                </c:pt>
                <c:pt idx="1">
                  <c:v>1.4279692909813169E-2</c:v>
                </c:pt>
                <c:pt idx="2">
                  <c:v>2.5809044599302517E-2</c:v>
                </c:pt>
                <c:pt idx="3">
                  <c:v>3.5568055427776621E-2</c:v>
                </c:pt>
                <c:pt idx="4">
                  <c:v>4.3887878612020738E-2</c:v>
                </c:pt>
                <c:pt idx="5">
                  <c:v>0.10128362042741772</c:v>
                </c:pt>
                <c:pt idx="6">
                  <c:v>0.10128362042741772</c:v>
                </c:pt>
                <c:pt idx="7">
                  <c:v>0.10141439161660752</c:v>
                </c:pt>
                <c:pt idx="8">
                  <c:v>0.12010641507143661</c:v>
                </c:pt>
                <c:pt idx="9">
                  <c:v>0.13189578597187154</c:v>
                </c:pt>
                <c:pt idx="10">
                  <c:v>0.14142162893442034</c:v>
                </c:pt>
                <c:pt idx="11">
                  <c:v>0.17900660141340655</c:v>
                </c:pt>
                <c:pt idx="12">
                  <c:v>0.17900660141340655</c:v>
                </c:pt>
                <c:pt idx="13">
                  <c:v>0.18907400475599209</c:v>
                </c:pt>
                <c:pt idx="14">
                  <c:v>0.21753213991571524</c:v>
                </c:pt>
                <c:pt idx="15">
                  <c:v>0.25242874919835512</c:v>
                </c:pt>
                <c:pt idx="16">
                  <c:v>0.27042386680564229</c:v>
                </c:pt>
                <c:pt idx="17">
                  <c:v>0.33880655647007452</c:v>
                </c:pt>
                <c:pt idx="18">
                  <c:v>0.33880655647007452</c:v>
                </c:pt>
                <c:pt idx="19">
                  <c:v>0.33880655647007452</c:v>
                </c:pt>
                <c:pt idx="20">
                  <c:v>0.36474121484240662</c:v>
                </c:pt>
                <c:pt idx="21">
                  <c:v>0.44458666670029856</c:v>
                </c:pt>
                <c:pt idx="22">
                  <c:v>0.55234370374548725</c:v>
                </c:pt>
                <c:pt idx="23">
                  <c:v>0.67463703708807166</c:v>
                </c:pt>
                <c:pt idx="24">
                  <c:v>0.82133333339546521</c:v>
                </c:pt>
                <c:pt idx="25">
                  <c:v>0.97120370377717269</c:v>
                </c:pt>
                <c:pt idx="26">
                  <c:v>1.0000000000756473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1728"/>
        <c:axId val="61442304"/>
      </c:scatterChart>
      <c:valAx>
        <c:axId val="614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(hr)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442304"/>
        <c:crosses val="autoZero"/>
        <c:crossBetween val="midCat"/>
      </c:valAx>
      <c:valAx>
        <c:axId val="6144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44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C3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9280774278215225"/>
                  <c:y val="-0.25470691163604547"/>
                </c:manualLayout>
              </c:layout>
              <c:numFmt formatCode="General" sourceLinked="0"/>
            </c:trendlineLbl>
          </c:trendline>
          <c:xVal>
            <c:numRef>
              <c:f>'PCL-PNa'!$AH$50:$AH$73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'PCL-PNa'!$AG$50:$AG$73</c:f>
              <c:numCache>
                <c:formatCode>General</c:formatCode>
                <c:ptCount val="24"/>
                <c:pt idx="0">
                  <c:v>7.2204201135562624E-3</c:v>
                </c:pt>
                <c:pt idx="1">
                  <c:v>1.3312263217710885E-2</c:v>
                </c:pt>
                <c:pt idx="2">
                  <c:v>2.2493783898014964E-2</c:v>
                </c:pt>
                <c:pt idx="3">
                  <c:v>3.4048561777993661E-2</c:v>
                </c:pt>
                <c:pt idx="4">
                  <c:v>4.1772121835568235E-2</c:v>
                </c:pt>
                <c:pt idx="5">
                  <c:v>8.1324710596457295E-2</c:v>
                </c:pt>
                <c:pt idx="6">
                  <c:v>8.1324710596457295E-2</c:v>
                </c:pt>
                <c:pt idx="7">
                  <c:v>8.3703637997251334E-2</c:v>
                </c:pt>
                <c:pt idx="8">
                  <c:v>9.0707599782714671E-2</c:v>
                </c:pt>
                <c:pt idx="9">
                  <c:v>0.10371797311907209</c:v>
                </c:pt>
                <c:pt idx="10">
                  <c:v>0.11266339641819827</c:v>
                </c:pt>
                <c:pt idx="11">
                  <c:v>0.1203817926276213</c:v>
                </c:pt>
                <c:pt idx="12">
                  <c:v>0.1295170273020608</c:v>
                </c:pt>
                <c:pt idx="13">
                  <c:v>0.14491671204682308</c:v>
                </c:pt>
                <c:pt idx="14">
                  <c:v>0.1595700265287642</c:v>
                </c:pt>
                <c:pt idx="15">
                  <c:v>0.16241196132187441</c:v>
                </c:pt>
                <c:pt idx="16">
                  <c:v>0.19206120375385963</c:v>
                </c:pt>
                <c:pt idx="17">
                  <c:v>0.21880042794714993</c:v>
                </c:pt>
                <c:pt idx="18">
                  <c:v>0.21880042794714993</c:v>
                </c:pt>
                <c:pt idx="19">
                  <c:v>0.26163998005482297</c:v>
                </c:pt>
                <c:pt idx="20">
                  <c:v>0.32415454123728005</c:v>
                </c:pt>
                <c:pt idx="21">
                  <c:v>0.39098410311547283</c:v>
                </c:pt>
                <c:pt idx="22">
                  <c:v>0.47002626307182255</c:v>
                </c:pt>
                <c:pt idx="23">
                  <c:v>0.58525506242522163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9120"/>
        <c:axId val="114469696"/>
      </c:scatterChart>
      <c:valAx>
        <c:axId val="114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69696"/>
        <c:crosses val="autoZero"/>
        <c:crossBetween val="midCat"/>
      </c:valAx>
      <c:valAx>
        <c:axId val="1144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6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percent release of PNa with PEG in enzyme over time</a:t>
            </a:r>
          </a:p>
        </c:rich>
      </c:tx>
      <c:layout>
        <c:manualLayout>
          <c:xMode val="edge"/>
          <c:yMode val="edge"/>
          <c:x val="0.10210459987397606"/>
          <c:y val="1.646081975602108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xVal>
            <c:numRef>
              <c:f>'PEG-PNa'!$A$3:$A$29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'PEG-PNa'!$F$3:$F$29</c:f>
              <c:numCache>
                <c:formatCode>General</c:formatCode>
                <c:ptCount val="27"/>
                <c:pt idx="0">
                  <c:v>1.2304726945918807E-2</c:v>
                </c:pt>
                <c:pt idx="1">
                  <c:v>2.8255011022371983E-2</c:v>
                </c:pt>
                <c:pt idx="2">
                  <c:v>3.4947115163244988E-2</c:v>
                </c:pt>
                <c:pt idx="3">
                  <c:v>3.893049602640801E-2</c:v>
                </c:pt>
                <c:pt idx="4">
                  <c:v>4.2114103645149094E-2</c:v>
                </c:pt>
                <c:pt idx="5">
                  <c:v>5.2977101923391001E-2</c:v>
                </c:pt>
                <c:pt idx="6">
                  <c:v>5.2977101923391001E-2</c:v>
                </c:pt>
                <c:pt idx="7">
                  <c:v>5.8473360605901026E-2</c:v>
                </c:pt>
                <c:pt idx="8">
                  <c:v>5.8729107429037905E-2</c:v>
                </c:pt>
                <c:pt idx="9">
                  <c:v>6.3421274007513601E-2</c:v>
                </c:pt>
                <c:pt idx="10">
                  <c:v>6.9916293530792428E-2</c:v>
                </c:pt>
                <c:pt idx="11">
                  <c:v>8.2608439071573295E-2</c:v>
                </c:pt>
                <c:pt idx="12">
                  <c:v>8.2608439071573295E-2</c:v>
                </c:pt>
                <c:pt idx="13">
                  <c:v>9.8012121337931649E-2</c:v>
                </c:pt>
                <c:pt idx="14">
                  <c:v>0.11291824928376464</c:v>
                </c:pt>
                <c:pt idx="15">
                  <c:v>0.11686835551555701</c:v>
                </c:pt>
                <c:pt idx="16">
                  <c:v>0.12631282091875182</c:v>
                </c:pt>
                <c:pt idx="17">
                  <c:v>0.16210237402559532</c:v>
                </c:pt>
                <c:pt idx="18">
                  <c:v>0.17820560176898126</c:v>
                </c:pt>
                <c:pt idx="19">
                  <c:v>0.2103516485771873</c:v>
                </c:pt>
                <c:pt idx="20">
                  <c:v>0.25572557790168948</c:v>
                </c:pt>
                <c:pt idx="21">
                  <c:v>0.42070329715437438</c:v>
                </c:pt>
                <c:pt idx="22">
                  <c:v>0.49771003549067444</c:v>
                </c:pt>
                <c:pt idx="23">
                  <c:v>0.60475572244064868</c:v>
                </c:pt>
                <c:pt idx="24">
                  <c:v>0.70370042693089463</c:v>
                </c:pt>
                <c:pt idx="25">
                  <c:v>0.8668278380718617</c:v>
                </c:pt>
                <c:pt idx="26">
                  <c:v>0.99999999999733336</c:v>
                </c:pt>
              </c:numCache>
            </c:numRef>
          </c:yVal>
          <c:smooth val="0"/>
        </c:ser>
        <c:ser>
          <c:idx val="1"/>
          <c:order val="1"/>
          <c:tx>
            <c:v>S2</c:v>
          </c:tx>
          <c:xVal>
            <c:numRef>
              <c:f>'PEG-PNa'!$A$3:$A$29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'PEG-PNa'!$L$3:$L$29</c:f>
              <c:numCache>
                <c:formatCode>General</c:formatCode>
                <c:ptCount val="27"/>
                <c:pt idx="0">
                  <c:v>1.2952541102827082E-2</c:v>
                </c:pt>
                <c:pt idx="1">
                  <c:v>2.5761641386414614E-2</c:v>
                </c:pt>
                <c:pt idx="2">
                  <c:v>3.7456138493777519E-2</c:v>
                </c:pt>
                <c:pt idx="3">
                  <c:v>4.2893132908380316E-2</c:v>
                </c:pt>
                <c:pt idx="4">
                  <c:v>4.4501222866797904E-2</c:v>
                </c:pt>
                <c:pt idx="5">
                  <c:v>5.7946082622391336E-2</c:v>
                </c:pt>
                <c:pt idx="6">
                  <c:v>5.7946082622391336E-2</c:v>
                </c:pt>
                <c:pt idx="7">
                  <c:v>6.5964676529758182E-2</c:v>
                </c:pt>
                <c:pt idx="8">
                  <c:v>6.7395529414379582E-2</c:v>
                </c:pt>
                <c:pt idx="9">
                  <c:v>7.3870482672311846E-2</c:v>
                </c:pt>
                <c:pt idx="10">
                  <c:v>7.6752641481157097E-2</c:v>
                </c:pt>
                <c:pt idx="11">
                  <c:v>9.7917775461669271E-2</c:v>
                </c:pt>
                <c:pt idx="12">
                  <c:v>9.7917775461669271E-2</c:v>
                </c:pt>
                <c:pt idx="13">
                  <c:v>0.11789264656835664</c:v>
                </c:pt>
                <c:pt idx="14">
                  <c:v>0.13523840069172813</c:v>
                </c:pt>
                <c:pt idx="15">
                  <c:v>0.13523840069172813</c:v>
                </c:pt>
                <c:pt idx="16">
                  <c:v>0.16529918864867316</c:v>
                </c:pt>
                <c:pt idx="17">
                  <c:v>0.2024138939667155</c:v>
                </c:pt>
                <c:pt idx="18">
                  <c:v>0.2024138939667155</c:v>
                </c:pt>
                <c:pt idx="19">
                  <c:v>0.2024138939667155</c:v>
                </c:pt>
                <c:pt idx="20">
                  <c:v>0.27274073251076691</c:v>
                </c:pt>
                <c:pt idx="21">
                  <c:v>0.42896388410109532</c:v>
                </c:pt>
                <c:pt idx="22">
                  <c:v>0.50121311436177807</c:v>
                </c:pt>
                <c:pt idx="23">
                  <c:v>0.61350062731022115</c:v>
                </c:pt>
                <c:pt idx="24">
                  <c:v>0.7353488625317478</c:v>
                </c:pt>
                <c:pt idx="25">
                  <c:v>0.86249522660567202</c:v>
                </c:pt>
                <c:pt idx="26">
                  <c:v>0.99999999993096811</c:v>
                </c:pt>
              </c:numCache>
            </c:numRef>
          </c:yVal>
          <c:smooth val="0"/>
        </c:ser>
        <c:ser>
          <c:idx val="2"/>
          <c:order val="2"/>
          <c:tx>
            <c:v>S3</c:v>
          </c:tx>
          <c:xVal>
            <c:numRef>
              <c:f>'PEG-PNa'!$A$3:$A$29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'PEG-PNa'!$R$3:$R$29</c:f>
              <c:numCache>
                <c:formatCode>General</c:formatCode>
                <c:ptCount val="27"/>
                <c:pt idx="0">
                  <c:v>1.2207408114204151E-2</c:v>
                </c:pt>
                <c:pt idx="1">
                  <c:v>2.5863002713814497E-2</c:v>
                </c:pt>
                <c:pt idx="2">
                  <c:v>3.8632915642263302E-2</c:v>
                </c:pt>
                <c:pt idx="3">
                  <c:v>4.0143933463858431E-2</c:v>
                </c:pt>
                <c:pt idx="4">
                  <c:v>4.8633897405145711E-2</c:v>
                </c:pt>
                <c:pt idx="5">
                  <c:v>6.2234199156124208E-2</c:v>
                </c:pt>
                <c:pt idx="6">
                  <c:v>6.2234199156124208E-2</c:v>
                </c:pt>
                <c:pt idx="7">
                  <c:v>6.7690364779865231E-2</c:v>
                </c:pt>
                <c:pt idx="8">
                  <c:v>6.7690364779865231E-2</c:v>
                </c:pt>
                <c:pt idx="9">
                  <c:v>7.2776599402033765E-2</c:v>
                </c:pt>
                <c:pt idx="10">
                  <c:v>8.0758804376332233E-2</c:v>
                </c:pt>
                <c:pt idx="11">
                  <c:v>9.1646927773092288E-2</c:v>
                </c:pt>
                <c:pt idx="12">
                  <c:v>9.1646927773092288E-2</c:v>
                </c:pt>
                <c:pt idx="13">
                  <c:v>0.10382329494269295</c:v>
                </c:pt>
                <c:pt idx="14">
                  <c:v>0.11803811873836507</c:v>
                </c:pt>
                <c:pt idx="15">
                  <c:v>0.12719416601667866</c:v>
                </c:pt>
                <c:pt idx="16">
                  <c:v>0.15265111804708228</c:v>
                </c:pt>
                <c:pt idx="17">
                  <c:v>0.18134555216399384</c:v>
                </c:pt>
                <c:pt idx="18">
                  <c:v>0.18134555216399384</c:v>
                </c:pt>
                <c:pt idx="19">
                  <c:v>0.18134555216399384</c:v>
                </c:pt>
                <c:pt idx="20">
                  <c:v>0.24147622988445944</c:v>
                </c:pt>
                <c:pt idx="21">
                  <c:v>0.3680601781448008</c:v>
                </c:pt>
                <c:pt idx="22">
                  <c:v>0.45051392147100477</c:v>
                </c:pt>
                <c:pt idx="23">
                  <c:v>0.552078747577189</c:v>
                </c:pt>
                <c:pt idx="24">
                  <c:v>0.67584887976908847</c:v>
                </c:pt>
                <c:pt idx="25">
                  <c:v>0.82392425242389888</c:v>
                </c:pt>
                <c:pt idx="26">
                  <c:v>1.0000000000689204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70272"/>
        <c:axId val="114470848"/>
      </c:scatterChart>
      <c:valAx>
        <c:axId val="1144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470848"/>
        <c:crosses val="autoZero"/>
        <c:crossBetween val="midCat"/>
      </c:valAx>
      <c:valAx>
        <c:axId val="11447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47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percent release of PNa with PEG in PBS over time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xVal>
            <c:numRef>
              <c:f>'PEG-PNa'!$A$3:$A$29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'PEG-PNa'!$X$3:$X$29</c:f>
              <c:numCache>
                <c:formatCode>General</c:formatCode>
                <c:ptCount val="27"/>
                <c:pt idx="0">
                  <c:v>2.6405895022402575E-2</c:v>
                </c:pt>
                <c:pt idx="1">
                  <c:v>5.7360193290059189E-2</c:v>
                </c:pt>
                <c:pt idx="2">
                  <c:v>7.7776275385783522E-2</c:v>
                </c:pt>
                <c:pt idx="3">
                  <c:v>9.3391124283336902E-2</c:v>
                </c:pt>
                <c:pt idx="4">
                  <c:v>9.9423413656468063E-2</c:v>
                </c:pt>
                <c:pt idx="5">
                  <c:v>0.12050017091344904</c:v>
                </c:pt>
                <c:pt idx="6">
                  <c:v>0.12050017091344904</c:v>
                </c:pt>
                <c:pt idx="7">
                  <c:v>0.12254666540024671</c:v>
                </c:pt>
                <c:pt idx="8">
                  <c:v>0.12258536027407056</c:v>
                </c:pt>
                <c:pt idx="9">
                  <c:v>0.13569808564113986</c:v>
                </c:pt>
                <c:pt idx="10">
                  <c:v>0.13981546205896273</c:v>
                </c:pt>
                <c:pt idx="11">
                  <c:v>0.15130300272542888</c:v>
                </c:pt>
                <c:pt idx="12">
                  <c:v>0.15130300272542888</c:v>
                </c:pt>
                <c:pt idx="13">
                  <c:v>0.15487160345467024</c:v>
                </c:pt>
                <c:pt idx="14">
                  <c:v>0.16868044686220399</c:v>
                </c:pt>
                <c:pt idx="15">
                  <c:v>0.1758394944866335</c:v>
                </c:pt>
                <c:pt idx="16">
                  <c:v>0.20134821443708165</c:v>
                </c:pt>
                <c:pt idx="17">
                  <c:v>0.21463881106587526</c:v>
                </c:pt>
                <c:pt idx="18">
                  <c:v>0.2261347447008675</c:v>
                </c:pt>
                <c:pt idx="19">
                  <c:v>0.27771328706789805</c:v>
                </c:pt>
                <c:pt idx="20">
                  <c:v>0.33987781847969023</c:v>
                </c:pt>
                <c:pt idx="21">
                  <c:v>0.40506892920614174</c:v>
                </c:pt>
                <c:pt idx="22">
                  <c:v>0.48654022122284185</c:v>
                </c:pt>
                <c:pt idx="23">
                  <c:v>0.59277843408479147</c:v>
                </c:pt>
                <c:pt idx="24">
                  <c:v>0.69945655673084839</c:v>
                </c:pt>
                <c:pt idx="25">
                  <c:v>0.84648265488801078</c:v>
                </c:pt>
                <c:pt idx="26">
                  <c:v>0.99999999995714917</c:v>
                </c:pt>
              </c:numCache>
            </c:numRef>
          </c:yVal>
          <c:smooth val="0"/>
        </c:ser>
        <c:ser>
          <c:idx val="1"/>
          <c:order val="1"/>
          <c:tx>
            <c:v>C2</c:v>
          </c:tx>
          <c:xVal>
            <c:numRef>
              <c:f>'PEG-PNa'!$A$3:$A$29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'PEG-PNa'!$AD$3:$AD$29</c:f>
              <c:numCache>
                <c:formatCode>General</c:formatCode>
                <c:ptCount val="27"/>
                <c:pt idx="0">
                  <c:v>6.2108538893900717E-3</c:v>
                </c:pt>
                <c:pt idx="1">
                  <c:v>2.0893068330793543E-2</c:v>
                </c:pt>
                <c:pt idx="2">
                  <c:v>3.171978526784245E-2</c:v>
                </c:pt>
                <c:pt idx="3">
                  <c:v>4.0487505475943715E-2</c:v>
                </c:pt>
                <c:pt idx="4">
                  <c:v>4.3740207518203726E-2</c:v>
                </c:pt>
                <c:pt idx="5">
                  <c:v>6.459116260490802E-2</c:v>
                </c:pt>
                <c:pt idx="6">
                  <c:v>6.5559532462631798E-2</c:v>
                </c:pt>
                <c:pt idx="7">
                  <c:v>8.233217046276553E-2</c:v>
                </c:pt>
                <c:pt idx="8">
                  <c:v>9.4502579680082327E-2</c:v>
                </c:pt>
                <c:pt idx="9">
                  <c:v>9.4502579680082327E-2</c:v>
                </c:pt>
                <c:pt idx="10">
                  <c:v>0.11617676028431434</c:v>
                </c:pt>
                <c:pt idx="11">
                  <c:v>0.1535142843390912</c:v>
                </c:pt>
                <c:pt idx="12">
                  <c:v>0.1535142843390912</c:v>
                </c:pt>
                <c:pt idx="13">
                  <c:v>0.15615401263686601</c:v>
                </c:pt>
                <c:pt idx="14">
                  <c:v>0.16403243657237754</c:v>
                </c:pt>
                <c:pt idx="15">
                  <c:v>0.16858572453703724</c:v>
                </c:pt>
                <c:pt idx="16">
                  <c:v>0.18248204571310611</c:v>
                </c:pt>
                <c:pt idx="17">
                  <c:v>0.21128171091233386</c:v>
                </c:pt>
                <c:pt idx="18">
                  <c:v>0.21490209172322186</c:v>
                </c:pt>
                <c:pt idx="19">
                  <c:v>0.25928656801055033</c:v>
                </c:pt>
                <c:pt idx="20">
                  <c:v>0.319858323885022</c:v>
                </c:pt>
                <c:pt idx="21">
                  <c:v>0.39019538977924673</c:v>
                </c:pt>
                <c:pt idx="22">
                  <c:v>0.45780556628065516</c:v>
                </c:pt>
                <c:pt idx="23">
                  <c:v>0.56324816019752377</c:v>
                </c:pt>
                <c:pt idx="24">
                  <c:v>0.67913019416231457</c:v>
                </c:pt>
                <c:pt idx="25">
                  <c:v>0.83948431355513431</c:v>
                </c:pt>
                <c:pt idx="26">
                  <c:v>0.99999999992630795</c:v>
                </c:pt>
              </c:numCache>
            </c:numRef>
          </c:yVal>
          <c:smooth val="0"/>
        </c:ser>
        <c:ser>
          <c:idx val="2"/>
          <c:order val="2"/>
          <c:tx>
            <c:v>C3</c:v>
          </c:tx>
          <c:xVal>
            <c:numRef>
              <c:f>'PEG-PNa'!$A$3:$A$29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'PEG-PNa'!$AJ$3:$AJ$29</c:f>
              <c:numCache>
                <c:formatCode>General</c:formatCode>
                <c:ptCount val="27"/>
                <c:pt idx="0">
                  <c:v>3.6846732784694379E-2</c:v>
                </c:pt>
                <c:pt idx="1">
                  <c:v>5.8890764577618347E-2</c:v>
                </c:pt>
                <c:pt idx="2">
                  <c:v>7.9144356228458876E-2</c:v>
                </c:pt>
                <c:pt idx="3">
                  <c:v>8.9633284536118712E-2</c:v>
                </c:pt>
                <c:pt idx="4">
                  <c:v>9.9604463681244246E-2</c:v>
                </c:pt>
                <c:pt idx="5">
                  <c:v>0.11287124933233532</c:v>
                </c:pt>
                <c:pt idx="6">
                  <c:v>0.11287124933233532</c:v>
                </c:pt>
                <c:pt idx="7">
                  <c:v>0.11712981400681312</c:v>
                </c:pt>
                <c:pt idx="8">
                  <c:v>0.12145646473539175</c:v>
                </c:pt>
                <c:pt idx="9">
                  <c:v>0.13409420484194151</c:v>
                </c:pt>
                <c:pt idx="10">
                  <c:v>0.13409420484194151</c:v>
                </c:pt>
                <c:pt idx="11">
                  <c:v>0.15345172195517731</c:v>
                </c:pt>
                <c:pt idx="12">
                  <c:v>0.15345172195517731</c:v>
                </c:pt>
                <c:pt idx="13">
                  <c:v>0.16261767826593376</c:v>
                </c:pt>
                <c:pt idx="14">
                  <c:v>0.1805619185309198</c:v>
                </c:pt>
                <c:pt idx="15">
                  <c:v>0.1805619185309198</c:v>
                </c:pt>
                <c:pt idx="16">
                  <c:v>0.20897213293218778</c:v>
                </c:pt>
                <c:pt idx="17">
                  <c:v>0.23646024608320795</c:v>
                </c:pt>
                <c:pt idx="18">
                  <c:v>0.23646024608320795</c:v>
                </c:pt>
                <c:pt idx="19">
                  <c:v>0.25674932391857569</c:v>
                </c:pt>
                <c:pt idx="20">
                  <c:v>0.3171846153057396</c:v>
                </c:pt>
                <c:pt idx="21">
                  <c:v>0.37215352055491657</c:v>
                </c:pt>
                <c:pt idx="22">
                  <c:v>0.45232286245724368</c:v>
                </c:pt>
                <c:pt idx="23">
                  <c:v>0.55289201311949698</c:v>
                </c:pt>
                <c:pt idx="24">
                  <c:v>0.66058084002827822</c:v>
                </c:pt>
                <c:pt idx="25">
                  <c:v>0.77918004946965724</c:v>
                </c:pt>
                <c:pt idx="26">
                  <c:v>0.93592370637461941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73152"/>
        <c:axId val="114473728"/>
      </c:scatterChart>
      <c:valAx>
        <c:axId val="11447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473728"/>
        <c:crosses val="autoZero"/>
        <c:crossBetween val="midCat"/>
      </c:valAx>
      <c:valAx>
        <c:axId val="11447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47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7453215223097114"/>
                  <c:y val="-0.3593992417614465"/>
                </c:manualLayout>
              </c:layout>
              <c:numFmt formatCode="General" sourceLinked="0"/>
            </c:trendlineLbl>
          </c:trendline>
          <c:xVal>
            <c:numRef>
              <c:f>'PEG-PNa'!$D$50:$D$73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'PEG-PNa'!$C$50:$C$73</c:f>
              <c:numCache>
                <c:formatCode>General</c:formatCode>
                <c:ptCount val="24"/>
                <c:pt idx="0">
                  <c:v>1.2304726945918807E-2</c:v>
                </c:pt>
                <c:pt idx="1">
                  <c:v>2.8255011022371983E-2</c:v>
                </c:pt>
                <c:pt idx="2">
                  <c:v>3.4947115163244988E-2</c:v>
                </c:pt>
                <c:pt idx="3">
                  <c:v>3.893049602640801E-2</c:v>
                </c:pt>
                <c:pt idx="4">
                  <c:v>4.2114103645149094E-2</c:v>
                </c:pt>
                <c:pt idx="5">
                  <c:v>5.2977101923391001E-2</c:v>
                </c:pt>
                <c:pt idx="6">
                  <c:v>5.2977101923391001E-2</c:v>
                </c:pt>
                <c:pt idx="7">
                  <c:v>5.8473360605901026E-2</c:v>
                </c:pt>
                <c:pt idx="8">
                  <c:v>5.8729107429037905E-2</c:v>
                </c:pt>
                <c:pt idx="9">
                  <c:v>6.3421274007513601E-2</c:v>
                </c:pt>
                <c:pt idx="10">
                  <c:v>6.9916293530792428E-2</c:v>
                </c:pt>
                <c:pt idx="11">
                  <c:v>8.2608439071573295E-2</c:v>
                </c:pt>
                <c:pt idx="12">
                  <c:v>8.2608439071573295E-2</c:v>
                </c:pt>
                <c:pt idx="13">
                  <c:v>9.8012121337931649E-2</c:v>
                </c:pt>
                <c:pt idx="14">
                  <c:v>0.11291824928376464</c:v>
                </c:pt>
                <c:pt idx="15">
                  <c:v>0.11686835551555701</c:v>
                </c:pt>
                <c:pt idx="16">
                  <c:v>0.12631282091875182</c:v>
                </c:pt>
                <c:pt idx="17">
                  <c:v>0.16210237402559532</c:v>
                </c:pt>
                <c:pt idx="18">
                  <c:v>0.17820560176898126</c:v>
                </c:pt>
                <c:pt idx="19">
                  <c:v>0.2103516485771873</c:v>
                </c:pt>
                <c:pt idx="20">
                  <c:v>0.25572557790168948</c:v>
                </c:pt>
                <c:pt idx="21">
                  <c:v>0.42070329715437438</c:v>
                </c:pt>
                <c:pt idx="22">
                  <c:v>0.49771003549067444</c:v>
                </c:pt>
                <c:pt idx="23">
                  <c:v>0.60475572244064868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9472"/>
        <c:axId val="114290048"/>
      </c:scatterChart>
      <c:valAx>
        <c:axId val="114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90048"/>
        <c:crosses val="autoZero"/>
        <c:crossBetween val="midCat"/>
      </c:valAx>
      <c:valAx>
        <c:axId val="1142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919903762029744"/>
                  <c:y val="-0.26565398075240593"/>
                </c:manualLayout>
              </c:layout>
              <c:numFmt formatCode="General" sourceLinked="0"/>
            </c:trendlineLbl>
          </c:trendline>
          <c:xVal>
            <c:numRef>
              <c:f>'PEG-PNa'!$J$50:$J$72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</c:numCache>
            </c:numRef>
          </c:xVal>
          <c:yVal>
            <c:numRef>
              <c:f>'PEG-PNa'!$I$50:$I$72</c:f>
              <c:numCache>
                <c:formatCode>General</c:formatCode>
                <c:ptCount val="23"/>
                <c:pt idx="0">
                  <c:v>1.2952541102827082E-2</c:v>
                </c:pt>
                <c:pt idx="1">
                  <c:v>2.5761641386414614E-2</c:v>
                </c:pt>
                <c:pt idx="2">
                  <c:v>3.7456138493777519E-2</c:v>
                </c:pt>
                <c:pt idx="3">
                  <c:v>4.2893132908380316E-2</c:v>
                </c:pt>
                <c:pt idx="4">
                  <c:v>4.4501222866797904E-2</c:v>
                </c:pt>
                <c:pt idx="5">
                  <c:v>5.7946082622391336E-2</c:v>
                </c:pt>
                <c:pt idx="6">
                  <c:v>5.7946082622391336E-2</c:v>
                </c:pt>
                <c:pt idx="7">
                  <c:v>6.5964676529758182E-2</c:v>
                </c:pt>
                <c:pt idx="8">
                  <c:v>6.7395529414379582E-2</c:v>
                </c:pt>
                <c:pt idx="9">
                  <c:v>7.3870482672311846E-2</c:v>
                </c:pt>
                <c:pt idx="10">
                  <c:v>7.6752641481157097E-2</c:v>
                </c:pt>
                <c:pt idx="11">
                  <c:v>9.7917775461669271E-2</c:v>
                </c:pt>
                <c:pt idx="12">
                  <c:v>9.7917775461669271E-2</c:v>
                </c:pt>
                <c:pt idx="13">
                  <c:v>0.11789264656835664</c:v>
                </c:pt>
                <c:pt idx="14">
                  <c:v>0.13523840069172813</c:v>
                </c:pt>
                <c:pt idx="15">
                  <c:v>0.13523840069172813</c:v>
                </c:pt>
                <c:pt idx="16">
                  <c:v>0.16529918864867316</c:v>
                </c:pt>
                <c:pt idx="17">
                  <c:v>0.2024138939667155</c:v>
                </c:pt>
                <c:pt idx="18">
                  <c:v>0.2024138939667155</c:v>
                </c:pt>
                <c:pt idx="19">
                  <c:v>0.2024138939667155</c:v>
                </c:pt>
                <c:pt idx="20">
                  <c:v>0.27274073251076691</c:v>
                </c:pt>
                <c:pt idx="21">
                  <c:v>0.42896388410109532</c:v>
                </c:pt>
                <c:pt idx="22">
                  <c:v>0.50121311436177807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1776"/>
        <c:axId val="114292352"/>
      </c:scatterChart>
      <c:valAx>
        <c:axId val="1142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92352"/>
        <c:crosses val="autoZero"/>
        <c:crossBetween val="midCat"/>
      </c:valAx>
      <c:valAx>
        <c:axId val="1142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91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S3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2175437445319336"/>
                  <c:y val="-0.25864938757655292"/>
                </c:manualLayout>
              </c:layout>
              <c:numFmt formatCode="General" sourceLinked="0"/>
            </c:trendlineLbl>
          </c:trendline>
          <c:xVal>
            <c:numRef>
              <c:f>'PEG-PNa'!$P$50:$P$73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'PEG-PNa'!$O$50:$O$73</c:f>
              <c:numCache>
                <c:formatCode>General</c:formatCode>
                <c:ptCount val="24"/>
                <c:pt idx="0">
                  <c:v>1.2207408114204151E-2</c:v>
                </c:pt>
                <c:pt idx="1">
                  <c:v>2.5863002713814497E-2</c:v>
                </c:pt>
                <c:pt idx="2">
                  <c:v>3.8632915642263302E-2</c:v>
                </c:pt>
                <c:pt idx="3">
                  <c:v>4.0143933463858431E-2</c:v>
                </c:pt>
                <c:pt idx="4">
                  <c:v>4.8633897405145711E-2</c:v>
                </c:pt>
                <c:pt idx="5">
                  <c:v>6.2234199156124208E-2</c:v>
                </c:pt>
                <c:pt idx="6">
                  <c:v>6.2234199156124208E-2</c:v>
                </c:pt>
                <c:pt idx="7">
                  <c:v>6.7690364779865231E-2</c:v>
                </c:pt>
                <c:pt idx="8">
                  <c:v>6.7690364779865231E-2</c:v>
                </c:pt>
                <c:pt idx="9">
                  <c:v>7.2776599402033765E-2</c:v>
                </c:pt>
                <c:pt idx="10">
                  <c:v>8.0758804376332233E-2</c:v>
                </c:pt>
                <c:pt idx="11">
                  <c:v>9.1646927773092288E-2</c:v>
                </c:pt>
                <c:pt idx="12">
                  <c:v>9.1646927773092288E-2</c:v>
                </c:pt>
                <c:pt idx="13">
                  <c:v>0.10382329494269295</c:v>
                </c:pt>
                <c:pt idx="14">
                  <c:v>0.11803811873836507</c:v>
                </c:pt>
                <c:pt idx="15">
                  <c:v>0.12719416601667866</c:v>
                </c:pt>
                <c:pt idx="16">
                  <c:v>0.15265111804708228</c:v>
                </c:pt>
                <c:pt idx="17">
                  <c:v>0.18134555216399384</c:v>
                </c:pt>
                <c:pt idx="18">
                  <c:v>0.18134555216399384</c:v>
                </c:pt>
                <c:pt idx="19">
                  <c:v>0.18134555216399384</c:v>
                </c:pt>
                <c:pt idx="20">
                  <c:v>0.24147622988445944</c:v>
                </c:pt>
                <c:pt idx="21">
                  <c:v>0.3680601781448008</c:v>
                </c:pt>
                <c:pt idx="22">
                  <c:v>0.45051392147100477</c:v>
                </c:pt>
                <c:pt idx="23">
                  <c:v>0.552078747577189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4080"/>
        <c:axId val="114802688"/>
      </c:scatterChart>
      <c:valAx>
        <c:axId val="11429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02688"/>
        <c:crosses val="autoZero"/>
        <c:crossBetween val="midCat"/>
      </c:valAx>
      <c:valAx>
        <c:axId val="1148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9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9002996500437448"/>
                  <c:y val="-0.30524715660542434"/>
                </c:manualLayout>
              </c:layout>
              <c:numFmt formatCode="General" sourceLinked="0"/>
            </c:trendlineLbl>
          </c:trendline>
          <c:xVal>
            <c:numRef>
              <c:f>'PEG-PNa'!$V$50:$V$73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'PEG-PNa'!$U$50:$U$73</c:f>
              <c:numCache>
                <c:formatCode>General</c:formatCode>
                <c:ptCount val="24"/>
                <c:pt idx="0">
                  <c:v>2.6405895022402575E-2</c:v>
                </c:pt>
                <c:pt idx="1">
                  <c:v>5.7360193290059189E-2</c:v>
                </c:pt>
                <c:pt idx="2">
                  <c:v>7.7776275385783522E-2</c:v>
                </c:pt>
                <c:pt idx="3">
                  <c:v>9.3391124283336902E-2</c:v>
                </c:pt>
                <c:pt idx="4">
                  <c:v>9.9423413656468063E-2</c:v>
                </c:pt>
                <c:pt idx="5">
                  <c:v>0.12050017091344904</c:v>
                </c:pt>
                <c:pt idx="6">
                  <c:v>0.12050017091344904</c:v>
                </c:pt>
                <c:pt idx="7">
                  <c:v>0.12254666540024671</c:v>
                </c:pt>
                <c:pt idx="8">
                  <c:v>0.12258536027407056</c:v>
                </c:pt>
                <c:pt idx="9">
                  <c:v>0.13569808564113986</c:v>
                </c:pt>
                <c:pt idx="10">
                  <c:v>0.13981546205896273</c:v>
                </c:pt>
                <c:pt idx="11">
                  <c:v>0.15130300272542888</c:v>
                </c:pt>
                <c:pt idx="12">
                  <c:v>0.15130300272542888</c:v>
                </c:pt>
                <c:pt idx="13">
                  <c:v>0.15487160345467024</c:v>
                </c:pt>
                <c:pt idx="14">
                  <c:v>0.16868044686220399</c:v>
                </c:pt>
                <c:pt idx="15">
                  <c:v>0.1758394944866335</c:v>
                </c:pt>
                <c:pt idx="16">
                  <c:v>0.20134821443708165</c:v>
                </c:pt>
                <c:pt idx="17">
                  <c:v>0.21463881106587526</c:v>
                </c:pt>
                <c:pt idx="18">
                  <c:v>0.2261347447008675</c:v>
                </c:pt>
                <c:pt idx="19">
                  <c:v>0.27771328706789805</c:v>
                </c:pt>
                <c:pt idx="20">
                  <c:v>0.33987781847969023</c:v>
                </c:pt>
                <c:pt idx="21">
                  <c:v>0.40506892920614174</c:v>
                </c:pt>
                <c:pt idx="22">
                  <c:v>0.48654022122284185</c:v>
                </c:pt>
                <c:pt idx="23">
                  <c:v>0.59277843408479147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4416"/>
        <c:axId val="114804992"/>
      </c:scatterChart>
      <c:valAx>
        <c:axId val="1148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04992"/>
        <c:crosses val="autoZero"/>
        <c:crossBetween val="midCat"/>
      </c:valAx>
      <c:valAx>
        <c:axId val="1148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04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C2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280774278215226"/>
                  <c:y val="-0.20807341790609507"/>
                </c:manualLayout>
              </c:layout>
              <c:numFmt formatCode="General" sourceLinked="0"/>
            </c:trendlineLbl>
          </c:trendline>
          <c:xVal>
            <c:numRef>
              <c:f>'PEG-PNa'!$AB$50:$AB$73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'PEG-PNa'!$AA$50:$AA$73</c:f>
              <c:numCache>
                <c:formatCode>General</c:formatCode>
                <c:ptCount val="24"/>
                <c:pt idx="0">
                  <c:v>6.2108538893900717E-3</c:v>
                </c:pt>
                <c:pt idx="1">
                  <c:v>2.0893068330793543E-2</c:v>
                </c:pt>
                <c:pt idx="2">
                  <c:v>3.171978526784245E-2</c:v>
                </c:pt>
                <c:pt idx="3">
                  <c:v>4.0487505475943715E-2</c:v>
                </c:pt>
                <c:pt idx="4">
                  <c:v>4.3740207518203726E-2</c:v>
                </c:pt>
                <c:pt idx="5">
                  <c:v>6.459116260490802E-2</c:v>
                </c:pt>
                <c:pt idx="6">
                  <c:v>6.5559532462631798E-2</c:v>
                </c:pt>
                <c:pt idx="7">
                  <c:v>8.233217046276553E-2</c:v>
                </c:pt>
                <c:pt idx="8">
                  <c:v>9.4502579680082327E-2</c:v>
                </c:pt>
                <c:pt idx="9">
                  <c:v>9.4502579680082327E-2</c:v>
                </c:pt>
                <c:pt idx="10">
                  <c:v>0.11617676028431434</c:v>
                </c:pt>
                <c:pt idx="11">
                  <c:v>0.1535142843390912</c:v>
                </c:pt>
                <c:pt idx="12">
                  <c:v>0.1535142843390912</c:v>
                </c:pt>
                <c:pt idx="13">
                  <c:v>0.15615401263686601</c:v>
                </c:pt>
                <c:pt idx="14">
                  <c:v>0.16403243657237754</c:v>
                </c:pt>
                <c:pt idx="15">
                  <c:v>0.16858572453703724</c:v>
                </c:pt>
                <c:pt idx="16">
                  <c:v>0.18248204571310611</c:v>
                </c:pt>
                <c:pt idx="17">
                  <c:v>0.21128171091233386</c:v>
                </c:pt>
                <c:pt idx="18">
                  <c:v>0.21490209172322186</c:v>
                </c:pt>
                <c:pt idx="19">
                  <c:v>0.25928656801055033</c:v>
                </c:pt>
                <c:pt idx="20">
                  <c:v>0.319858323885022</c:v>
                </c:pt>
                <c:pt idx="21">
                  <c:v>0.39019538977924673</c:v>
                </c:pt>
                <c:pt idx="22">
                  <c:v>0.45780556628065516</c:v>
                </c:pt>
                <c:pt idx="23">
                  <c:v>0.56324816019752377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6720"/>
        <c:axId val="114807296"/>
      </c:scatterChart>
      <c:valAx>
        <c:axId val="1148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07296"/>
        <c:crosses val="autoZero"/>
        <c:crossBetween val="midCat"/>
      </c:valAx>
      <c:valAx>
        <c:axId val="1148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0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C3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4107611548555"/>
                  <c:y val="-0.24029782735491398"/>
                </c:manualLayout>
              </c:layout>
              <c:numFmt formatCode="General" sourceLinked="0"/>
            </c:trendlineLbl>
          </c:trendline>
          <c:xVal>
            <c:numRef>
              <c:f>'PEG-PNa'!$AH$50:$AH$73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'PEG-PNa'!$AG$50:$AG$73</c:f>
              <c:numCache>
                <c:formatCode>General</c:formatCode>
                <c:ptCount val="24"/>
                <c:pt idx="0">
                  <c:v>3.6846732784694379E-2</c:v>
                </c:pt>
                <c:pt idx="1">
                  <c:v>5.8890764577618347E-2</c:v>
                </c:pt>
                <c:pt idx="2">
                  <c:v>7.9144356228458876E-2</c:v>
                </c:pt>
                <c:pt idx="3">
                  <c:v>8.9633284536118712E-2</c:v>
                </c:pt>
                <c:pt idx="4">
                  <c:v>9.9604463681244246E-2</c:v>
                </c:pt>
                <c:pt idx="5">
                  <c:v>0.11287124933233532</c:v>
                </c:pt>
                <c:pt idx="6">
                  <c:v>0.11287124933233532</c:v>
                </c:pt>
                <c:pt idx="7">
                  <c:v>0.11712981400681312</c:v>
                </c:pt>
                <c:pt idx="8">
                  <c:v>0.12145646473539175</c:v>
                </c:pt>
                <c:pt idx="9">
                  <c:v>0.13409420484194151</c:v>
                </c:pt>
                <c:pt idx="10">
                  <c:v>0.13409420484194151</c:v>
                </c:pt>
                <c:pt idx="11">
                  <c:v>0.15345172195517731</c:v>
                </c:pt>
                <c:pt idx="12">
                  <c:v>0.15345172195517731</c:v>
                </c:pt>
                <c:pt idx="13">
                  <c:v>0.16261767826593376</c:v>
                </c:pt>
                <c:pt idx="14">
                  <c:v>0.1805619185309198</c:v>
                </c:pt>
                <c:pt idx="15">
                  <c:v>0.1805619185309198</c:v>
                </c:pt>
                <c:pt idx="16">
                  <c:v>0.20897213293218778</c:v>
                </c:pt>
                <c:pt idx="17">
                  <c:v>0.23646024608320795</c:v>
                </c:pt>
                <c:pt idx="18">
                  <c:v>0.23646024608320795</c:v>
                </c:pt>
                <c:pt idx="19">
                  <c:v>0.25674932391857569</c:v>
                </c:pt>
                <c:pt idx="20">
                  <c:v>0.3171846153057396</c:v>
                </c:pt>
                <c:pt idx="21">
                  <c:v>0.37215352055491657</c:v>
                </c:pt>
                <c:pt idx="22">
                  <c:v>0.45232286245724368</c:v>
                </c:pt>
                <c:pt idx="23">
                  <c:v>0.55289201311949698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9024"/>
        <c:axId val="114809600"/>
      </c:scatterChart>
      <c:valAx>
        <c:axId val="1148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09600"/>
        <c:crosses val="autoZero"/>
        <c:crossBetween val="midCat"/>
      </c:valAx>
      <c:valAx>
        <c:axId val="1148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09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percent release of MB with PCL in Enzyme over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xVal>
            <c:numRef>
              <c:f>'PCL-MB'!$A$3:$A$29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'PCL-MB'!$F$3:$F$29</c:f>
              <c:numCache>
                <c:formatCode>General</c:formatCode>
                <c:ptCount val="27"/>
                <c:pt idx="0">
                  <c:v>2.5031439500579947E-3</c:v>
                </c:pt>
                <c:pt idx="1">
                  <c:v>4.0173915247844368E-3</c:v>
                </c:pt>
                <c:pt idx="2">
                  <c:v>6.9435204478846373E-3</c:v>
                </c:pt>
                <c:pt idx="3">
                  <c:v>1.3369174019527533E-2</c:v>
                </c:pt>
                <c:pt idx="4">
                  <c:v>1.5534497351132721E-2</c:v>
                </c:pt>
                <c:pt idx="5">
                  <c:v>6.1064758589475694E-2</c:v>
                </c:pt>
                <c:pt idx="6">
                  <c:v>6.1064758589475694E-2</c:v>
                </c:pt>
                <c:pt idx="7">
                  <c:v>6.1064758589475694E-2</c:v>
                </c:pt>
                <c:pt idx="8">
                  <c:v>6.1064758589475694E-2</c:v>
                </c:pt>
                <c:pt idx="9">
                  <c:v>6.1064758589475694E-2</c:v>
                </c:pt>
                <c:pt idx="10">
                  <c:v>6.1064758589475694E-2</c:v>
                </c:pt>
                <c:pt idx="11">
                  <c:v>0.22596425454894348</c:v>
                </c:pt>
                <c:pt idx="12">
                  <c:v>0.29019012390629123</c:v>
                </c:pt>
                <c:pt idx="13">
                  <c:v>0.30500767323638922</c:v>
                </c:pt>
                <c:pt idx="14">
                  <c:v>0.32820927978418135</c:v>
                </c:pt>
                <c:pt idx="15">
                  <c:v>0.33121312194020214</c:v>
                </c:pt>
                <c:pt idx="16">
                  <c:v>0.36230552320427839</c:v>
                </c:pt>
                <c:pt idx="17">
                  <c:v>0.39414449342526048</c:v>
                </c:pt>
                <c:pt idx="18">
                  <c:v>0.39414449342526048</c:v>
                </c:pt>
                <c:pt idx="19">
                  <c:v>0.39588568710922029</c:v>
                </c:pt>
                <c:pt idx="20">
                  <c:v>0.47668393589199243</c:v>
                </c:pt>
                <c:pt idx="21">
                  <c:v>0.50472101399270231</c:v>
                </c:pt>
                <c:pt idx="22">
                  <c:v>0.60644253540015358</c:v>
                </c:pt>
                <c:pt idx="23">
                  <c:v>0.69324171734882867</c:v>
                </c:pt>
                <c:pt idx="24">
                  <c:v>0.80647852709248635</c:v>
                </c:pt>
                <c:pt idx="25">
                  <c:v>0.97177914048388692</c:v>
                </c:pt>
                <c:pt idx="26">
                  <c:v>0.99999999936157524</c:v>
                </c:pt>
              </c:numCache>
            </c:numRef>
          </c:yVal>
          <c:smooth val="0"/>
        </c:ser>
        <c:ser>
          <c:idx val="1"/>
          <c:order val="1"/>
          <c:tx>
            <c:v>S2</c:v>
          </c:tx>
          <c:xVal>
            <c:numRef>
              <c:f>'PCL-MB'!$A$3:$A$29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'PCL-MB'!$L$3:$L$29</c:f>
              <c:numCache>
                <c:formatCode>General</c:formatCode>
                <c:ptCount val="27"/>
                <c:pt idx="0">
                  <c:v>3.7874870734229574E-3</c:v>
                </c:pt>
                <c:pt idx="1">
                  <c:v>5.3429851775249901E-3</c:v>
                </c:pt>
                <c:pt idx="2">
                  <c:v>1.093372974836263E-2</c:v>
                </c:pt>
                <c:pt idx="3">
                  <c:v>2.4195253253188543E-2</c:v>
                </c:pt>
                <c:pt idx="4">
                  <c:v>2.4584481240305055E-2</c:v>
                </c:pt>
                <c:pt idx="5">
                  <c:v>8.4341496938016999E-2</c:v>
                </c:pt>
                <c:pt idx="6">
                  <c:v>8.4341496938016999E-2</c:v>
                </c:pt>
                <c:pt idx="7">
                  <c:v>8.4341496938016999E-2</c:v>
                </c:pt>
                <c:pt idx="8">
                  <c:v>8.4341496938016999E-2</c:v>
                </c:pt>
                <c:pt idx="9">
                  <c:v>8.4341496938016999E-2</c:v>
                </c:pt>
                <c:pt idx="10">
                  <c:v>8.4341496938016999E-2</c:v>
                </c:pt>
                <c:pt idx="11">
                  <c:v>0.16101912403673746</c:v>
                </c:pt>
                <c:pt idx="12">
                  <c:v>0.45390087184655081</c:v>
                </c:pt>
                <c:pt idx="13">
                  <c:v>0.4802984774616077</c:v>
                </c:pt>
                <c:pt idx="14">
                  <c:v>0.53130275850079522</c:v>
                </c:pt>
                <c:pt idx="15">
                  <c:v>0.58048475827350388</c:v>
                </c:pt>
                <c:pt idx="16">
                  <c:v>0.63222627944872645</c:v>
                </c:pt>
                <c:pt idx="17">
                  <c:v>0.63471385258215041</c:v>
                </c:pt>
                <c:pt idx="18">
                  <c:v>0.63471385258215041</c:v>
                </c:pt>
                <c:pt idx="19">
                  <c:v>0.70261981533014284</c:v>
                </c:pt>
                <c:pt idx="20">
                  <c:v>0.76316471431071864</c:v>
                </c:pt>
                <c:pt idx="21">
                  <c:v>0.76316471431071864</c:v>
                </c:pt>
                <c:pt idx="22">
                  <c:v>0.76316471431071864</c:v>
                </c:pt>
                <c:pt idx="23">
                  <c:v>0.76316471431071864</c:v>
                </c:pt>
                <c:pt idx="24">
                  <c:v>0.76316471431071864</c:v>
                </c:pt>
                <c:pt idx="25">
                  <c:v>0.9279478060987818</c:v>
                </c:pt>
                <c:pt idx="26">
                  <c:v>0.9447138247192981</c:v>
                </c:pt>
              </c:numCache>
            </c:numRef>
          </c:yVal>
          <c:smooth val="0"/>
        </c:ser>
        <c:ser>
          <c:idx val="2"/>
          <c:order val="2"/>
          <c:tx>
            <c:v>S3</c:v>
          </c:tx>
          <c:xVal>
            <c:numRef>
              <c:f>'PCL-MB'!$A$3:$A$29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'PCL-MB'!$R$3:$R$29</c:f>
              <c:numCache>
                <c:formatCode>General</c:formatCode>
                <c:ptCount val="27"/>
                <c:pt idx="0">
                  <c:v>2.9592901433015107E-3</c:v>
                </c:pt>
                <c:pt idx="1">
                  <c:v>5.144165746840108E-3</c:v>
                </c:pt>
                <c:pt idx="2">
                  <c:v>1.1535317442073664E-2</c:v>
                </c:pt>
                <c:pt idx="3">
                  <c:v>1.8577510179155821E-2</c:v>
                </c:pt>
                <c:pt idx="4">
                  <c:v>2.6229509034038041E-2</c:v>
                </c:pt>
                <c:pt idx="5">
                  <c:v>9.654900292545783E-2</c:v>
                </c:pt>
                <c:pt idx="6">
                  <c:v>9.654900292545783E-2</c:v>
                </c:pt>
                <c:pt idx="7">
                  <c:v>9.654900292545783E-2</c:v>
                </c:pt>
                <c:pt idx="8">
                  <c:v>9.654900292545783E-2</c:v>
                </c:pt>
                <c:pt idx="9">
                  <c:v>9.654900292545783E-2</c:v>
                </c:pt>
                <c:pt idx="10">
                  <c:v>9.654900292545783E-2</c:v>
                </c:pt>
                <c:pt idx="11">
                  <c:v>0.26448554696163806</c:v>
                </c:pt>
                <c:pt idx="12">
                  <c:v>0.47733405810930213</c:v>
                </c:pt>
                <c:pt idx="13">
                  <c:v>0.49274397854561042</c:v>
                </c:pt>
                <c:pt idx="14">
                  <c:v>0.49820402675078312</c:v>
                </c:pt>
                <c:pt idx="15">
                  <c:v>0.49820402675078312</c:v>
                </c:pt>
                <c:pt idx="16">
                  <c:v>0.57879809331086962</c:v>
                </c:pt>
                <c:pt idx="17">
                  <c:v>0.61289167962918101</c:v>
                </c:pt>
                <c:pt idx="18">
                  <c:v>0.61289167962918101</c:v>
                </c:pt>
                <c:pt idx="19">
                  <c:v>0.70739236147368678</c:v>
                </c:pt>
                <c:pt idx="20">
                  <c:v>0.82384574497373309</c:v>
                </c:pt>
                <c:pt idx="21">
                  <c:v>0.85752740841955755</c:v>
                </c:pt>
                <c:pt idx="22">
                  <c:v>0.90979205859411305</c:v>
                </c:pt>
                <c:pt idx="23">
                  <c:v>0.94366729481836165</c:v>
                </c:pt>
                <c:pt idx="24">
                  <c:v>0.99999999791449001</c:v>
                </c:pt>
                <c:pt idx="25">
                  <c:v>0.99999999791449001</c:v>
                </c:pt>
                <c:pt idx="26">
                  <c:v>0.99999999791449001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0176"/>
        <c:axId val="115777536"/>
      </c:scatterChart>
      <c:valAx>
        <c:axId val="1148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777536"/>
        <c:crosses val="autoZero"/>
        <c:crossBetween val="midCat"/>
      </c:valAx>
      <c:valAx>
        <c:axId val="11577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810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percent release of PNa with PCl in PBS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xVal>
            <c:numRef>
              <c:f>'PCL-PNa'!$A$3:$A$29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'PCL-PNa'!$X$3:$X$29</c:f>
              <c:numCache>
                <c:formatCode>General</c:formatCode>
                <c:ptCount val="27"/>
                <c:pt idx="0">
                  <c:v>8.5256413751354735E-3</c:v>
                </c:pt>
                <c:pt idx="1">
                  <c:v>1.4349222299583899E-2</c:v>
                </c:pt>
                <c:pt idx="2">
                  <c:v>2.4293715928276314E-2</c:v>
                </c:pt>
                <c:pt idx="3">
                  <c:v>3.6422415773941674E-2</c:v>
                </c:pt>
                <c:pt idx="4">
                  <c:v>4.5520325599430117E-2</c:v>
                </c:pt>
                <c:pt idx="5">
                  <c:v>9.5678761703894055E-2</c:v>
                </c:pt>
                <c:pt idx="6">
                  <c:v>9.5678761703894055E-2</c:v>
                </c:pt>
                <c:pt idx="7">
                  <c:v>9.5678761703894055E-2</c:v>
                </c:pt>
                <c:pt idx="8">
                  <c:v>0.11589546999915977</c:v>
                </c:pt>
                <c:pt idx="9">
                  <c:v>0.12034386677199109</c:v>
                </c:pt>
                <c:pt idx="10">
                  <c:v>0.12034386677199109</c:v>
                </c:pt>
                <c:pt idx="11">
                  <c:v>0.14499261056866394</c:v>
                </c:pt>
                <c:pt idx="12">
                  <c:v>0.14499261056866394</c:v>
                </c:pt>
                <c:pt idx="13">
                  <c:v>0.15626971170063328</c:v>
                </c:pt>
                <c:pt idx="14">
                  <c:v>0.18019958616066012</c:v>
                </c:pt>
                <c:pt idx="15">
                  <c:v>0.19356362744466962</c:v>
                </c:pt>
                <c:pt idx="16">
                  <c:v>0.2078054676870123</c:v>
                </c:pt>
                <c:pt idx="17">
                  <c:v>0.22931658055305068</c:v>
                </c:pt>
                <c:pt idx="18">
                  <c:v>0.24037304064685044</c:v>
                </c:pt>
                <c:pt idx="19">
                  <c:v>0.28767352162566573</c:v>
                </c:pt>
                <c:pt idx="20">
                  <c:v>0.34120911570623064</c:v>
                </c:pt>
                <c:pt idx="21">
                  <c:v>0.38480843792144692</c:v>
                </c:pt>
                <c:pt idx="22">
                  <c:v>0.44282697171567675</c:v>
                </c:pt>
                <c:pt idx="23">
                  <c:v>0.53887852515096724</c:v>
                </c:pt>
                <c:pt idx="24">
                  <c:v>0.65601326376306657</c:v>
                </c:pt>
                <c:pt idx="25">
                  <c:v>0.8073367709434075</c:v>
                </c:pt>
                <c:pt idx="26">
                  <c:v>1.0000000000240008</c:v>
                </c:pt>
              </c:numCache>
            </c:numRef>
          </c:yVal>
          <c:smooth val="0"/>
        </c:ser>
        <c:ser>
          <c:idx val="1"/>
          <c:order val="1"/>
          <c:tx>
            <c:v>C2</c:v>
          </c:tx>
          <c:xVal>
            <c:numRef>
              <c:f>'PCL-PNa'!$A$3:$A$29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'PCL-PNa'!$AD$3:$AD$29</c:f>
              <c:numCache>
                <c:formatCode>General</c:formatCode>
                <c:ptCount val="27"/>
                <c:pt idx="0">
                  <c:v>1.0700875279159829E-2</c:v>
                </c:pt>
                <c:pt idx="1">
                  <c:v>2.0289323088542099E-2</c:v>
                </c:pt>
                <c:pt idx="2">
                  <c:v>2.9845571314767453E-2</c:v>
                </c:pt>
                <c:pt idx="3">
                  <c:v>5.3043703628974502E-2</c:v>
                </c:pt>
                <c:pt idx="4">
                  <c:v>5.734038032772186E-2</c:v>
                </c:pt>
                <c:pt idx="5">
                  <c:v>9.0787534854954124E-2</c:v>
                </c:pt>
                <c:pt idx="6">
                  <c:v>9.1537765477188601E-2</c:v>
                </c:pt>
                <c:pt idx="7">
                  <c:v>9.2082711290888672E-2</c:v>
                </c:pt>
                <c:pt idx="8">
                  <c:v>0.10402391850374454</c:v>
                </c:pt>
                <c:pt idx="9">
                  <c:v>0.11268402940482057</c:v>
                </c:pt>
                <c:pt idx="10">
                  <c:v>0.12390669533314</c:v>
                </c:pt>
                <c:pt idx="11">
                  <c:v>0.1242539974114778</c:v>
                </c:pt>
                <c:pt idx="12">
                  <c:v>0.14875549114959888</c:v>
                </c:pt>
                <c:pt idx="13">
                  <c:v>0.16148294351560877</c:v>
                </c:pt>
                <c:pt idx="14">
                  <c:v>0.17349450277542944</c:v>
                </c:pt>
                <c:pt idx="15">
                  <c:v>0.1874523311942046</c:v>
                </c:pt>
                <c:pt idx="16">
                  <c:v>0.21572671726681686</c:v>
                </c:pt>
                <c:pt idx="17">
                  <c:v>0.22981091621157976</c:v>
                </c:pt>
                <c:pt idx="18">
                  <c:v>0.25681752055573431</c:v>
                </c:pt>
                <c:pt idx="19">
                  <c:v>0.27930179256867438</c:v>
                </c:pt>
                <c:pt idx="20">
                  <c:v>0.32569948915345043</c:v>
                </c:pt>
                <c:pt idx="21">
                  <c:v>0.37196780563191989</c:v>
                </c:pt>
                <c:pt idx="22">
                  <c:v>0.42359544420624984</c:v>
                </c:pt>
                <c:pt idx="23">
                  <c:v>0.56020653001212006</c:v>
                </c:pt>
                <c:pt idx="24">
                  <c:v>0.65700835233898858</c:v>
                </c:pt>
                <c:pt idx="25">
                  <c:v>0.81488230830506037</c:v>
                </c:pt>
                <c:pt idx="26">
                  <c:v>1.0000000000351885</c:v>
                </c:pt>
              </c:numCache>
            </c:numRef>
          </c:yVal>
          <c:smooth val="0"/>
        </c:ser>
        <c:ser>
          <c:idx val="2"/>
          <c:order val="2"/>
          <c:tx>
            <c:v>C3</c:v>
          </c:tx>
          <c:xVal>
            <c:numRef>
              <c:f>'PCL-PNa'!$A$3:$A$29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'PCL-PNa'!$AJ$3:$AJ$29</c:f>
              <c:numCache>
                <c:formatCode>General</c:formatCode>
                <c:ptCount val="27"/>
                <c:pt idx="0">
                  <c:v>7.2204201135562624E-3</c:v>
                </c:pt>
                <c:pt idx="1">
                  <c:v>1.3312263217710885E-2</c:v>
                </c:pt>
                <c:pt idx="2">
                  <c:v>2.2493783898014964E-2</c:v>
                </c:pt>
                <c:pt idx="3">
                  <c:v>3.4048561777993661E-2</c:v>
                </c:pt>
                <c:pt idx="4">
                  <c:v>4.1772121835568235E-2</c:v>
                </c:pt>
                <c:pt idx="5">
                  <c:v>8.1324710596457295E-2</c:v>
                </c:pt>
                <c:pt idx="6">
                  <c:v>8.1324710596457295E-2</c:v>
                </c:pt>
                <c:pt idx="7">
                  <c:v>8.3703637997251334E-2</c:v>
                </c:pt>
                <c:pt idx="8">
                  <c:v>9.0707599782714671E-2</c:v>
                </c:pt>
                <c:pt idx="9">
                  <c:v>0.10371797311907209</c:v>
                </c:pt>
                <c:pt idx="10">
                  <c:v>0.11266339641819827</c:v>
                </c:pt>
                <c:pt idx="11">
                  <c:v>0.1203817926276213</c:v>
                </c:pt>
                <c:pt idx="12">
                  <c:v>0.1295170273020608</c:v>
                </c:pt>
                <c:pt idx="13">
                  <c:v>0.14491671204682308</c:v>
                </c:pt>
                <c:pt idx="14">
                  <c:v>0.1595700265287642</c:v>
                </c:pt>
                <c:pt idx="15">
                  <c:v>0.16241196132187441</c:v>
                </c:pt>
                <c:pt idx="16">
                  <c:v>0.19206120375385963</c:v>
                </c:pt>
                <c:pt idx="17">
                  <c:v>0.21880042794714993</c:v>
                </c:pt>
                <c:pt idx="18">
                  <c:v>0.21880042794714993</c:v>
                </c:pt>
                <c:pt idx="19">
                  <c:v>0.26163998005482297</c:v>
                </c:pt>
                <c:pt idx="20">
                  <c:v>0.32415454123728005</c:v>
                </c:pt>
                <c:pt idx="21">
                  <c:v>0.39098410311547283</c:v>
                </c:pt>
                <c:pt idx="22">
                  <c:v>0.47002626307182255</c:v>
                </c:pt>
                <c:pt idx="23">
                  <c:v>0.58525506242522163</c:v>
                </c:pt>
                <c:pt idx="24">
                  <c:v>0.72233994686910019</c:v>
                </c:pt>
                <c:pt idx="25">
                  <c:v>0.84953978324520896</c:v>
                </c:pt>
                <c:pt idx="26">
                  <c:v>1.0000000000688174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608"/>
        <c:axId val="61445184"/>
      </c:scatterChart>
      <c:valAx>
        <c:axId val="614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445184"/>
        <c:crosses val="autoZero"/>
        <c:crossBetween val="midCat"/>
      </c:valAx>
      <c:valAx>
        <c:axId val="6144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44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percent release of MB with PCL in PBS over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xVal>
            <c:numRef>
              <c:f>'PCL-MB'!$A$3:$A$29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'PCL-MB'!$X$3:$X$29</c:f>
              <c:numCache>
                <c:formatCode>General</c:formatCode>
                <c:ptCount val="27"/>
                <c:pt idx="0">
                  <c:v>4.1254247303885352E-3</c:v>
                </c:pt>
                <c:pt idx="1">
                  <c:v>4.1254247303885352E-3</c:v>
                </c:pt>
                <c:pt idx="2">
                  <c:v>9.01397916974442E-3</c:v>
                </c:pt>
                <c:pt idx="3">
                  <c:v>1.4131230148470968E-2</c:v>
                </c:pt>
                <c:pt idx="4">
                  <c:v>1.9990388743721371E-2</c:v>
                </c:pt>
                <c:pt idx="5">
                  <c:v>8.2312702410575728E-2</c:v>
                </c:pt>
                <c:pt idx="6">
                  <c:v>8.4054084379962812E-2</c:v>
                </c:pt>
                <c:pt idx="7">
                  <c:v>0.12942370644241258</c:v>
                </c:pt>
                <c:pt idx="8">
                  <c:v>0.15211556189907993</c:v>
                </c:pt>
                <c:pt idx="9">
                  <c:v>0.15211556189907993</c:v>
                </c:pt>
                <c:pt idx="10">
                  <c:v>0.15211556189907993</c:v>
                </c:pt>
                <c:pt idx="11">
                  <c:v>0.15375284046872451</c:v>
                </c:pt>
                <c:pt idx="12">
                  <c:v>0.15375284046872451</c:v>
                </c:pt>
                <c:pt idx="13">
                  <c:v>0.15375284046872451</c:v>
                </c:pt>
                <c:pt idx="14">
                  <c:v>0.15375284046872451</c:v>
                </c:pt>
                <c:pt idx="15">
                  <c:v>0.15375284046872451</c:v>
                </c:pt>
                <c:pt idx="16">
                  <c:v>0.15375284046872451</c:v>
                </c:pt>
                <c:pt idx="17">
                  <c:v>0.15375284046872451</c:v>
                </c:pt>
                <c:pt idx="18">
                  <c:v>0.15375284046872451</c:v>
                </c:pt>
                <c:pt idx="19">
                  <c:v>0.15375284046872451</c:v>
                </c:pt>
                <c:pt idx="20">
                  <c:v>0.18003298003748031</c:v>
                </c:pt>
                <c:pt idx="21">
                  <c:v>0.18003298003748031</c:v>
                </c:pt>
                <c:pt idx="22">
                  <c:v>0.19621032077038555</c:v>
                </c:pt>
                <c:pt idx="23">
                  <c:v>0.19921353996585062</c:v>
                </c:pt>
                <c:pt idx="24">
                  <c:v>0.19921353996585062</c:v>
                </c:pt>
                <c:pt idx="25">
                  <c:v>0.24557573629584289</c:v>
                </c:pt>
                <c:pt idx="26">
                  <c:v>0.30696967036980349</c:v>
                </c:pt>
              </c:numCache>
            </c:numRef>
          </c:yVal>
          <c:smooth val="0"/>
        </c:ser>
        <c:ser>
          <c:idx val="1"/>
          <c:order val="1"/>
          <c:tx>
            <c:v>C2</c:v>
          </c:tx>
          <c:xVal>
            <c:numRef>
              <c:f>'PCL-MB'!$A$3:$A$29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'PCL-MB'!$AD$3:$AD$29</c:f>
              <c:numCache>
                <c:formatCode>General</c:formatCode>
                <c:ptCount val="27"/>
                <c:pt idx="0">
                  <c:v>3.2187176835573928E-3</c:v>
                </c:pt>
                <c:pt idx="1">
                  <c:v>4.3627197518097188E-3</c:v>
                </c:pt>
                <c:pt idx="2">
                  <c:v>6.1112701285271067E-3</c:v>
                </c:pt>
                <c:pt idx="3">
                  <c:v>0.15105051521642773</c:v>
                </c:pt>
                <c:pt idx="4">
                  <c:v>0.15105051521642773</c:v>
                </c:pt>
                <c:pt idx="5">
                  <c:v>0.15105051521642773</c:v>
                </c:pt>
                <c:pt idx="6">
                  <c:v>0.15105051521642773</c:v>
                </c:pt>
                <c:pt idx="7">
                  <c:v>0.152186006153505</c:v>
                </c:pt>
                <c:pt idx="8">
                  <c:v>0.16355174632839567</c:v>
                </c:pt>
                <c:pt idx="9">
                  <c:v>0.17137766271842797</c:v>
                </c:pt>
                <c:pt idx="10">
                  <c:v>0.1747519700226744</c:v>
                </c:pt>
                <c:pt idx="11">
                  <c:v>0.1747519700226744</c:v>
                </c:pt>
                <c:pt idx="12">
                  <c:v>0.1747519700226744</c:v>
                </c:pt>
                <c:pt idx="13">
                  <c:v>0.1747519700226744</c:v>
                </c:pt>
                <c:pt idx="14">
                  <c:v>0.1747519700226744</c:v>
                </c:pt>
                <c:pt idx="15">
                  <c:v>0.1747519700226744</c:v>
                </c:pt>
                <c:pt idx="16">
                  <c:v>0.1747519700226744</c:v>
                </c:pt>
                <c:pt idx="17">
                  <c:v>0.1747519700226744</c:v>
                </c:pt>
                <c:pt idx="18">
                  <c:v>0.1747519700226744</c:v>
                </c:pt>
                <c:pt idx="19">
                  <c:v>0.1747519700226744</c:v>
                </c:pt>
                <c:pt idx="20">
                  <c:v>0.1747519700226744</c:v>
                </c:pt>
                <c:pt idx="21">
                  <c:v>0.1747519700226744</c:v>
                </c:pt>
                <c:pt idx="22">
                  <c:v>0.1747519700226744</c:v>
                </c:pt>
                <c:pt idx="23">
                  <c:v>0.1747519700226744</c:v>
                </c:pt>
                <c:pt idx="24">
                  <c:v>0.18535493472011069</c:v>
                </c:pt>
                <c:pt idx="25">
                  <c:v>0.24929065587356652</c:v>
                </c:pt>
                <c:pt idx="26">
                  <c:v>0.27861896832928018</c:v>
                </c:pt>
              </c:numCache>
            </c:numRef>
          </c:yVal>
          <c:smooth val="0"/>
        </c:ser>
        <c:ser>
          <c:idx val="2"/>
          <c:order val="2"/>
          <c:tx>
            <c:v>C3</c:v>
          </c:tx>
          <c:xVal>
            <c:numRef>
              <c:f>'PCL-MB'!$A$3:$A$29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'PCL-MB'!$AJ$3:$AJ$29</c:f>
              <c:numCache>
                <c:formatCode>General</c:formatCode>
                <c:ptCount val="27"/>
                <c:pt idx="0">
                  <c:v>3.0635987590486033E-3</c:v>
                </c:pt>
                <c:pt idx="1">
                  <c:v>3.813340227507755E-3</c:v>
                </c:pt>
                <c:pt idx="2">
                  <c:v>9.8699801792485331E-3</c:v>
                </c:pt>
                <c:pt idx="3">
                  <c:v>1.4651803796104784E-2</c:v>
                </c:pt>
                <c:pt idx="4">
                  <c:v>1.8556707277662867E-2</c:v>
                </c:pt>
                <c:pt idx="5">
                  <c:v>9.0193066338924002E-2</c:v>
                </c:pt>
                <c:pt idx="6">
                  <c:v>9.3115563640837687E-2</c:v>
                </c:pt>
                <c:pt idx="7">
                  <c:v>0.14141977593554406</c:v>
                </c:pt>
                <c:pt idx="8">
                  <c:v>0.15730715669134229</c:v>
                </c:pt>
                <c:pt idx="9">
                  <c:v>0.15817395122821298</c:v>
                </c:pt>
                <c:pt idx="10">
                  <c:v>0.15817395122821298</c:v>
                </c:pt>
                <c:pt idx="11">
                  <c:v>0.15817395122821298</c:v>
                </c:pt>
                <c:pt idx="12">
                  <c:v>0.15817395122821298</c:v>
                </c:pt>
                <c:pt idx="13">
                  <c:v>0.15817395122821298</c:v>
                </c:pt>
                <c:pt idx="14">
                  <c:v>0.15817395122821298</c:v>
                </c:pt>
                <c:pt idx="15">
                  <c:v>0.15817395122821298</c:v>
                </c:pt>
                <c:pt idx="16">
                  <c:v>0.15817395122821298</c:v>
                </c:pt>
                <c:pt idx="17">
                  <c:v>0.15817395122821298</c:v>
                </c:pt>
                <c:pt idx="18">
                  <c:v>0.15817395122821298</c:v>
                </c:pt>
                <c:pt idx="19">
                  <c:v>0.15817395122821298</c:v>
                </c:pt>
                <c:pt idx="20">
                  <c:v>0.15817395122821298</c:v>
                </c:pt>
                <c:pt idx="21">
                  <c:v>0.15817395122821298</c:v>
                </c:pt>
                <c:pt idx="22">
                  <c:v>0.18912105501397933</c:v>
                </c:pt>
                <c:pt idx="23">
                  <c:v>0.18912105501397933</c:v>
                </c:pt>
                <c:pt idx="24">
                  <c:v>0.19343651415235175</c:v>
                </c:pt>
                <c:pt idx="25">
                  <c:v>0.21442255106510691</c:v>
                </c:pt>
                <c:pt idx="26">
                  <c:v>0.23666318801068978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9840"/>
        <c:axId val="115780416"/>
      </c:scatterChart>
      <c:valAx>
        <c:axId val="1157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780416"/>
        <c:crosses val="autoZero"/>
        <c:crossBetween val="midCat"/>
      </c:valAx>
      <c:valAx>
        <c:axId val="11578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779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1628324584426946"/>
                  <c:y val="-9.8264800233304177E-3"/>
                </c:manualLayout>
              </c:layout>
              <c:numFmt formatCode="General" sourceLinked="0"/>
            </c:trendlineLbl>
          </c:trendline>
          <c:xVal>
            <c:numRef>
              <c:f>'PCL-MB'!$D$50:$D$71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</c:numCache>
            </c:numRef>
          </c:xVal>
          <c:yVal>
            <c:numRef>
              <c:f>'PCL-MB'!$C$50:$C$71</c:f>
              <c:numCache>
                <c:formatCode>General</c:formatCode>
                <c:ptCount val="22"/>
                <c:pt idx="0">
                  <c:v>2.5031439500579947E-3</c:v>
                </c:pt>
                <c:pt idx="1">
                  <c:v>4.0173915247844368E-3</c:v>
                </c:pt>
                <c:pt idx="2">
                  <c:v>6.9435204478846373E-3</c:v>
                </c:pt>
                <c:pt idx="3">
                  <c:v>1.3369174019527533E-2</c:v>
                </c:pt>
                <c:pt idx="4">
                  <c:v>1.5534497351132721E-2</c:v>
                </c:pt>
                <c:pt idx="5">
                  <c:v>6.1064758589475694E-2</c:v>
                </c:pt>
                <c:pt idx="6">
                  <c:v>6.1064758589475694E-2</c:v>
                </c:pt>
                <c:pt idx="7">
                  <c:v>6.1064758589475694E-2</c:v>
                </c:pt>
                <c:pt idx="8">
                  <c:v>6.1064758589475694E-2</c:v>
                </c:pt>
                <c:pt idx="9">
                  <c:v>6.1064758589475694E-2</c:v>
                </c:pt>
                <c:pt idx="10">
                  <c:v>6.1064758589475694E-2</c:v>
                </c:pt>
                <c:pt idx="11">
                  <c:v>0.22596425454894348</c:v>
                </c:pt>
                <c:pt idx="12">
                  <c:v>0.29019012390629123</c:v>
                </c:pt>
                <c:pt idx="13">
                  <c:v>0.30500767323638922</c:v>
                </c:pt>
                <c:pt idx="14">
                  <c:v>0.32820927978418135</c:v>
                </c:pt>
                <c:pt idx="15">
                  <c:v>0.33121312194020214</c:v>
                </c:pt>
                <c:pt idx="16">
                  <c:v>0.36230552320427839</c:v>
                </c:pt>
                <c:pt idx="17">
                  <c:v>0.39414449342526048</c:v>
                </c:pt>
                <c:pt idx="18">
                  <c:v>0.39414449342526048</c:v>
                </c:pt>
                <c:pt idx="19">
                  <c:v>0.39588568710922029</c:v>
                </c:pt>
                <c:pt idx="20">
                  <c:v>0.47668393589199243</c:v>
                </c:pt>
                <c:pt idx="21">
                  <c:v>0.50472101399270231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4448"/>
        <c:axId val="115785024"/>
      </c:scatterChart>
      <c:valAx>
        <c:axId val="1157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85024"/>
        <c:crosses val="autoZero"/>
        <c:crossBetween val="midCat"/>
      </c:valAx>
      <c:valAx>
        <c:axId val="1157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8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9937073490813646"/>
                  <c:y val="-0.20876567512394284"/>
                </c:manualLayout>
              </c:layout>
              <c:numFmt formatCode="General" sourceLinked="0"/>
            </c:trendlineLbl>
          </c:trendline>
          <c:xVal>
            <c:numRef>
              <c:f>'PCL-MB'!$J$50:$J$65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</c:numCache>
            </c:numRef>
          </c:xVal>
          <c:yVal>
            <c:numRef>
              <c:f>'PCL-MB'!$I$50:$I$65</c:f>
              <c:numCache>
                <c:formatCode>General</c:formatCode>
                <c:ptCount val="16"/>
                <c:pt idx="0">
                  <c:v>3.7874870734229574E-3</c:v>
                </c:pt>
                <c:pt idx="1">
                  <c:v>5.3429851775249901E-3</c:v>
                </c:pt>
                <c:pt idx="2">
                  <c:v>1.093372974836263E-2</c:v>
                </c:pt>
                <c:pt idx="3">
                  <c:v>2.4195253253188543E-2</c:v>
                </c:pt>
                <c:pt idx="4">
                  <c:v>2.4584481240305055E-2</c:v>
                </c:pt>
                <c:pt idx="5">
                  <c:v>8.4341496938016999E-2</c:v>
                </c:pt>
                <c:pt idx="6">
                  <c:v>8.4341496938016999E-2</c:v>
                </c:pt>
                <c:pt idx="7">
                  <c:v>8.4341496938016999E-2</c:v>
                </c:pt>
                <c:pt idx="8">
                  <c:v>8.4341496938016999E-2</c:v>
                </c:pt>
                <c:pt idx="9">
                  <c:v>8.4341496938016999E-2</c:v>
                </c:pt>
                <c:pt idx="10">
                  <c:v>8.4341496938016999E-2</c:v>
                </c:pt>
                <c:pt idx="11">
                  <c:v>0.16101912403673746</c:v>
                </c:pt>
                <c:pt idx="12">
                  <c:v>0.45390087184655081</c:v>
                </c:pt>
                <c:pt idx="13">
                  <c:v>0.4802984774616077</c:v>
                </c:pt>
                <c:pt idx="14">
                  <c:v>0.53130275850079522</c:v>
                </c:pt>
                <c:pt idx="15">
                  <c:v>0.58048475827350388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1696"/>
        <c:axId val="115783872"/>
      </c:scatterChart>
      <c:valAx>
        <c:axId val="1145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83872"/>
        <c:crosses val="autoZero"/>
        <c:crossBetween val="midCat"/>
      </c:valAx>
      <c:valAx>
        <c:axId val="1157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S3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8452865266841643"/>
                  <c:y val="6.9808982210557019E-4"/>
                </c:manualLayout>
              </c:layout>
              <c:numFmt formatCode="General" sourceLinked="0"/>
            </c:trendlineLbl>
          </c:trendline>
          <c:xVal>
            <c:numRef>
              <c:f>'PCL-MB'!$P$50:$P$66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</c:numCache>
            </c:numRef>
          </c:xVal>
          <c:yVal>
            <c:numRef>
              <c:f>'PCL-MB'!$O$50:$O$66</c:f>
              <c:numCache>
                <c:formatCode>General</c:formatCode>
                <c:ptCount val="17"/>
                <c:pt idx="0">
                  <c:v>2.9592901433015107E-3</c:v>
                </c:pt>
                <c:pt idx="1">
                  <c:v>5.144165746840108E-3</c:v>
                </c:pt>
                <c:pt idx="2">
                  <c:v>1.1535317442073664E-2</c:v>
                </c:pt>
                <c:pt idx="3">
                  <c:v>1.8577510179155821E-2</c:v>
                </c:pt>
                <c:pt idx="4">
                  <c:v>2.6229509034038041E-2</c:v>
                </c:pt>
                <c:pt idx="5">
                  <c:v>9.654900292545783E-2</c:v>
                </c:pt>
                <c:pt idx="6">
                  <c:v>9.654900292545783E-2</c:v>
                </c:pt>
                <c:pt idx="7">
                  <c:v>9.654900292545783E-2</c:v>
                </c:pt>
                <c:pt idx="8">
                  <c:v>9.654900292545783E-2</c:v>
                </c:pt>
                <c:pt idx="9">
                  <c:v>9.654900292545783E-2</c:v>
                </c:pt>
                <c:pt idx="10">
                  <c:v>9.654900292545783E-2</c:v>
                </c:pt>
                <c:pt idx="11">
                  <c:v>0.26448554696163806</c:v>
                </c:pt>
                <c:pt idx="12">
                  <c:v>0.47733405810930213</c:v>
                </c:pt>
                <c:pt idx="13">
                  <c:v>0.49274397854561042</c:v>
                </c:pt>
                <c:pt idx="14">
                  <c:v>0.49820402675078312</c:v>
                </c:pt>
                <c:pt idx="15">
                  <c:v>0.49820402675078312</c:v>
                </c:pt>
                <c:pt idx="16">
                  <c:v>0.57879809331086962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2848"/>
        <c:axId val="114543424"/>
      </c:scatterChart>
      <c:valAx>
        <c:axId val="1145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43424"/>
        <c:crosses val="autoZero"/>
        <c:crossBetween val="midCat"/>
      </c:valAx>
      <c:valAx>
        <c:axId val="1145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103652668416448"/>
                  <c:y val="8.9001895596383784E-3"/>
                </c:manualLayout>
              </c:layout>
              <c:numFmt formatCode="General" sourceLinked="0"/>
            </c:trendlineLbl>
          </c:trendline>
          <c:xVal>
            <c:numRef>
              <c:f>'PCL-MB'!$U$83:$U$91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</c:numCache>
            </c:numRef>
          </c:xVal>
          <c:yVal>
            <c:numRef>
              <c:f>'PCL-MB'!$T$83:$T$91</c:f>
              <c:numCache>
                <c:formatCode>General</c:formatCode>
                <c:ptCount val="9"/>
                <c:pt idx="0">
                  <c:v>4.1254247303885352E-3</c:v>
                </c:pt>
                <c:pt idx="1">
                  <c:v>4.1254247303885352E-3</c:v>
                </c:pt>
                <c:pt idx="2">
                  <c:v>9.01397916974442E-3</c:v>
                </c:pt>
                <c:pt idx="3">
                  <c:v>1.4131230148470968E-2</c:v>
                </c:pt>
                <c:pt idx="4">
                  <c:v>1.9990388743721371E-2</c:v>
                </c:pt>
                <c:pt idx="5">
                  <c:v>8.2312702410575728E-2</c:v>
                </c:pt>
                <c:pt idx="6">
                  <c:v>8.4054084379962812E-2</c:v>
                </c:pt>
                <c:pt idx="7">
                  <c:v>0.12942370644241258</c:v>
                </c:pt>
                <c:pt idx="8">
                  <c:v>0.15211556189907993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5152"/>
        <c:axId val="114545728"/>
      </c:scatterChart>
      <c:valAx>
        <c:axId val="1145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45728"/>
        <c:crosses val="autoZero"/>
        <c:crossBetween val="midCat"/>
      </c:valAx>
      <c:valAx>
        <c:axId val="1145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C2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5782502187226597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'PCL-MB'!$AA$83:$AA$99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'PCL-MB'!$Z$83:$Z$99</c:f>
              <c:numCache>
                <c:formatCode>General</c:formatCode>
                <c:ptCount val="17"/>
                <c:pt idx="0">
                  <c:v>3.2187176835573928E-3</c:v>
                </c:pt>
                <c:pt idx="1">
                  <c:v>4.3627197518097188E-3</c:v>
                </c:pt>
                <c:pt idx="2">
                  <c:v>6.1112701285271067E-3</c:v>
                </c:pt>
                <c:pt idx="3">
                  <c:v>0.15105051521642773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7456"/>
        <c:axId val="114548032"/>
      </c:scatterChart>
      <c:valAx>
        <c:axId val="1145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48032"/>
        <c:crosses val="autoZero"/>
        <c:crossBetween val="midCat"/>
      </c:valAx>
      <c:valAx>
        <c:axId val="1145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C3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609208223972004"/>
                  <c:y val="4.270559930008749E-3"/>
                </c:manualLayout>
              </c:layout>
              <c:numFmt formatCode="General" sourceLinked="0"/>
            </c:trendlineLbl>
          </c:trendline>
          <c:xVal>
            <c:numRef>
              <c:f>'PCL-MB'!$AH$84:$AH$92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</c:numCache>
            </c:numRef>
          </c:xVal>
          <c:yVal>
            <c:numRef>
              <c:f>'PCL-MB'!$AG$84:$AG$92</c:f>
              <c:numCache>
                <c:formatCode>General</c:formatCode>
                <c:ptCount val="9"/>
                <c:pt idx="0">
                  <c:v>3.0635987590486033E-3</c:v>
                </c:pt>
                <c:pt idx="1">
                  <c:v>3.813340227507755E-3</c:v>
                </c:pt>
                <c:pt idx="2">
                  <c:v>9.8699801792485331E-3</c:v>
                </c:pt>
                <c:pt idx="3">
                  <c:v>1.4651803796104784E-2</c:v>
                </c:pt>
                <c:pt idx="4">
                  <c:v>1.8556707277662867E-2</c:v>
                </c:pt>
                <c:pt idx="5">
                  <c:v>9.0193066338924002E-2</c:v>
                </c:pt>
                <c:pt idx="6">
                  <c:v>9.3115563640837687E-2</c:v>
                </c:pt>
                <c:pt idx="7">
                  <c:v>0.14141977593554406</c:v>
                </c:pt>
                <c:pt idx="8">
                  <c:v>0.15730715669134229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45632"/>
        <c:axId val="116246208"/>
      </c:scatterChart>
      <c:valAx>
        <c:axId val="1162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46208"/>
        <c:crosses val="autoZero"/>
        <c:crossBetween val="midCat"/>
      </c:valAx>
      <c:valAx>
        <c:axId val="1162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4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750656167979002"/>
                  <c:y val="-9.8134295713035877E-2"/>
                </c:manualLayout>
              </c:layout>
              <c:numFmt formatCode="General" sourceLinked="0"/>
            </c:trendlineLbl>
          </c:trendline>
          <c:xVal>
            <c:numRef>
              <c:f>'PEG-MB (2)'!$A$50:$A$70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</c:numCache>
            </c:numRef>
          </c:xVal>
          <c:yVal>
            <c:numRef>
              <c:f>'PEG-MB (2)'!$C$50:$C$70</c:f>
              <c:numCache>
                <c:formatCode>General</c:formatCode>
                <c:ptCount val="21"/>
                <c:pt idx="0">
                  <c:v>4.070394445265179E-2</c:v>
                </c:pt>
                <c:pt idx="1">
                  <c:v>6.1622839414980035E-2</c:v>
                </c:pt>
                <c:pt idx="2">
                  <c:v>6.4563635692125851E-2</c:v>
                </c:pt>
                <c:pt idx="3">
                  <c:v>7.4017637852710857E-2</c:v>
                </c:pt>
                <c:pt idx="4">
                  <c:v>8.1620658055104114E-2</c:v>
                </c:pt>
                <c:pt idx="5">
                  <c:v>8.1620658055104114E-2</c:v>
                </c:pt>
                <c:pt idx="6">
                  <c:v>8.1620658055104114E-2</c:v>
                </c:pt>
                <c:pt idx="7">
                  <c:v>8.1620658055104114E-2</c:v>
                </c:pt>
                <c:pt idx="8">
                  <c:v>8.1620658055104114E-2</c:v>
                </c:pt>
                <c:pt idx="9">
                  <c:v>8.1620658055104114E-2</c:v>
                </c:pt>
                <c:pt idx="10">
                  <c:v>8.1620658055104114E-2</c:v>
                </c:pt>
                <c:pt idx="11">
                  <c:v>0.2105502404293467</c:v>
                </c:pt>
                <c:pt idx="12">
                  <c:v>0.2105502404293467</c:v>
                </c:pt>
                <c:pt idx="13">
                  <c:v>0.26213977886821987</c:v>
                </c:pt>
                <c:pt idx="14">
                  <c:v>0.26213977886821987</c:v>
                </c:pt>
                <c:pt idx="15">
                  <c:v>0.26213977886821987</c:v>
                </c:pt>
                <c:pt idx="16">
                  <c:v>0.26213977886821987</c:v>
                </c:pt>
                <c:pt idx="17">
                  <c:v>0.29719664952293989</c:v>
                </c:pt>
                <c:pt idx="18">
                  <c:v>0.33090189868241232</c:v>
                </c:pt>
                <c:pt idx="19">
                  <c:v>0.35724693832348414</c:v>
                </c:pt>
                <c:pt idx="20">
                  <c:v>0.42477532300658166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47936"/>
        <c:axId val="116248512"/>
      </c:scatterChart>
      <c:valAx>
        <c:axId val="1162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248512"/>
        <c:crosses val="autoZero"/>
        <c:crossBetween val="midCat"/>
      </c:valAx>
      <c:valAx>
        <c:axId val="11624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24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5361767279090112"/>
                  <c:y val="-5.3769320501603542E-3"/>
                </c:manualLayout>
              </c:layout>
              <c:numFmt formatCode="General" sourceLinked="0"/>
            </c:trendlineLbl>
          </c:trendline>
          <c:xVal>
            <c:numRef>
              <c:f>'PEG-MB (2)'!$A$50:$A$70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</c:numCache>
            </c:numRef>
          </c:xVal>
          <c:yVal>
            <c:numRef>
              <c:f>'PEG-MB (2)'!$J$50:$J$70</c:f>
              <c:numCache>
                <c:formatCode>General</c:formatCode>
                <c:ptCount val="21"/>
                <c:pt idx="0">
                  <c:v>4.0830748017924856E-2</c:v>
                </c:pt>
                <c:pt idx="1">
                  <c:v>6.3334841433988279E-2</c:v>
                </c:pt>
                <c:pt idx="2">
                  <c:v>6.8753231644260587E-2</c:v>
                </c:pt>
                <c:pt idx="3">
                  <c:v>8.06732861513271E-2</c:v>
                </c:pt>
                <c:pt idx="4">
                  <c:v>8.3115954762366398E-2</c:v>
                </c:pt>
                <c:pt idx="5">
                  <c:v>8.3115954762366398E-2</c:v>
                </c:pt>
                <c:pt idx="6">
                  <c:v>8.3115954762366398E-2</c:v>
                </c:pt>
                <c:pt idx="7">
                  <c:v>8.3115954762366398E-2</c:v>
                </c:pt>
                <c:pt idx="8">
                  <c:v>8.3115954762366398E-2</c:v>
                </c:pt>
                <c:pt idx="9">
                  <c:v>8.3115954762366398E-2</c:v>
                </c:pt>
                <c:pt idx="10">
                  <c:v>8.3115954762366398E-2</c:v>
                </c:pt>
                <c:pt idx="11">
                  <c:v>0.16237349050059785</c:v>
                </c:pt>
                <c:pt idx="12">
                  <c:v>0.16622340257842327</c:v>
                </c:pt>
                <c:pt idx="13">
                  <c:v>0.23991410566416141</c:v>
                </c:pt>
                <c:pt idx="14">
                  <c:v>0.2675618354168674</c:v>
                </c:pt>
                <c:pt idx="15">
                  <c:v>0.27799586524912528</c:v>
                </c:pt>
                <c:pt idx="16">
                  <c:v>0.3395345975344492</c:v>
                </c:pt>
                <c:pt idx="17">
                  <c:v>0.41446795438436485</c:v>
                </c:pt>
                <c:pt idx="18">
                  <c:v>0.41446795438436485</c:v>
                </c:pt>
                <c:pt idx="19">
                  <c:v>0.41446795438436485</c:v>
                </c:pt>
                <c:pt idx="20">
                  <c:v>0.41446795438436485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0240"/>
        <c:axId val="116250816"/>
      </c:scatterChart>
      <c:valAx>
        <c:axId val="1162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250816"/>
        <c:crosses val="autoZero"/>
        <c:crossBetween val="midCat"/>
      </c:valAx>
      <c:valAx>
        <c:axId val="11625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25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8419969378827645"/>
                  <c:y val="-0.17830161854768153"/>
                </c:manualLayout>
              </c:layout>
              <c:numFmt formatCode="General" sourceLinked="0"/>
            </c:trendlineLbl>
          </c:trendline>
          <c:xVal>
            <c:numRef>
              <c:f>'PEG-MB (2)'!$A$50:$A$71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</c:numCache>
            </c:numRef>
          </c:xVal>
          <c:yVal>
            <c:numRef>
              <c:f>'PEG-MB (2)'!$P$50:$P$71</c:f>
              <c:numCache>
                <c:formatCode>General</c:formatCode>
                <c:ptCount val="22"/>
                <c:pt idx="0">
                  <c:v>4.1017875609395779E-2</c:v>
                </c:pt>
                <c:pt idx="1">
                  <c:v>5.7680233417048296E-2</c:v>
                </c:pt>
                <c:pt idx="2">
                  <c:v>6.3859598906780904E-2</c:v>
                </c:pt>
                <c:pt idx="3">
                  <c:v>7.1904084798345369E-2</c:v>
                </c:pt>
                <c:pt idx="4">
                  <c:v>7.3225957143780426E-2</c:v>
                </c:pt>
                <c:pt idx="5">
                  <c:v>7.3225957143780426E-2</c:v>
                </c:pt>
                <c:pt idx="6">
                  <c:v>7.3225957143780426E-2</c:v>
                </c:pt>
                <c:pt idx="7">
                  <c:v>7.3225957143780426E-2</c:v>
                </c:pt>
                <c:pt idx="8">
                  <c:v>7.3225957143780426E-2</c:v>
                </c:pt>
                <c:pt idx="9">
                  <c:v>7.3225957143780426E-2</c:v>
                </c:pt>
                <c:pt idx="10">
                  <c:v>7.3225957143780426E-2</c:v>
                </c:pt>
                <c:pt idx="11">
                  <c:v>0.18552670766849727</c:v>
                </c:pt>
                <c:pt idx="12">
                  <c:v>0.18552670766849727</c:v>
                </c:pt>
                <c:pt idx="13">
                  <c:v>0.19697432897017442</c:v>
                </c:pt>
                <c:pt idx="14">
                  <c:v>0.22648352883379971</c:v>
                </c:pt>
                <c:pt idx="15">
                  <c:v>0.25171834545024635</c:v>
                </c:pt>
                <c:pt idx="16">
                  <c:v>0.27056048181735187</c:v>
                </c:pt>
                <c:pt idx="17">
                  <c:v>0.30539744007268987</c:v>
                </c:pt>
                <c:pt idx="18">
                  <c:v>0.30539744007268987</c:v>
                </c:pt>
                <c:pt idx="19">
                  <c:v>0.37569871706042163</c:v>
                </c:pt>
                <c:pt idx="20">
                  <c:v>0.41068021424919882</c:v>
                </c:pt>
                <c:pt idx="21">
                  <c:v>0.57021121791230411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3600"/>
        <c:axId val="116074176"/>
      </c:scatterChart>
      <c:valAx>
        <c:axId val="1160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074176"/>
        <c:crosses val="autoZero"/>
        <c:crossBetween val="midCat"/>
      </c:valAx>
      <c:valAx>
        <c:axId val="11607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07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PNa with PCl in enzyme under 60% releasing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041666666666671"/>
          <c:y val="5.5555555555555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78090525517316"/>
          <c:y val="0.28462713139878493"/>
          <c:w val="0.70368722251863869"/>
          <c:h val="0.48573793660407832"/>
        </c:manualLayout>
      </c:layout>
      <c:scatterChart>
        <c:scatterStyle val="lineMarker"/>
        <c:varyColors val="0"/>
        <c:ser>
          <c:idx val="0"/>
          <c:order val="0"/>
          <c:tx>
            <c:v>S1</c:v>
          </c:tx>
          <c:xVal>
            <c:numRef>
              <c:f>'PCL-PNa'!$D$50:$D$73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'PCL-PNa'!$E$50:$E$73</c:f>
              <c:numCache>
                <c:formatCode>General</c:formatCode>
                <c:ptCount val="24"/>
                <c:pt idx="0">
                  <c:v>2.1037988182315582E-4</c:v>
                </c:pt>
                <c:pt idx="1">
                  <c:v>4.3816523141116808E-4</c:v>
                </c:pt>
                <c:pt idx="2">
                  <c:v>9.1258141393475635E-4</c:v>
                </c:pt>
                <c:pt idx="3">
                  <c:v>1.4017171570538754E-3</c:v>
                </c:pt>
                <c:pt idx="4">
                  <c:v>1.9006638988150718E-3</c:v>
                </c:pt>
                <c:pt idx="5">
                  <c:v>1.3783402608303611E-2</c:v>
                </c:pt>
                <c:pt idx="6">
                  <c:v>1.547228308973962E-2</c:v>
                </c:pt>
                <c:pt idx="7">
                  <c:v>2.6084447925472546E-2</c:v>
                </c:pt>
                <c:pt idx="8">
                  <c:v>3.7540356697032054E-2</c:v>
                </c:pt>
                <c:pt idx="9">
                  <c:v>4.1405924931760353E-2</c:v>
                </c:pt>
                <c:pt idx="10">
                  <c:v>6.5279499165548469E-2</c:v>
                </c:pt>
                <c:pt idx="11">
                  <c:v>9.8078555626379252E-2</c:v>
                </c:pt>
                <c:pt idx="12">
                  <c:v>0.11188826996468958</c:v>
                </c:pt>
                <c:pt idx="13">
                  <c:v>0.14297411363875331</c:v>
                </c:pt>
                <c:pt idx="14">
                  <c:v>0.16799142486141558</c:v>
                </c:pt>
                <c:pt idx="15">
                  <c:v>0.18673051156545206</c:v>
                </c:pt>
                <c:pt idx="16">
                  <c:v>0.23303345013989529</c:v>
                </c:pt>
                <c:pt idx="17">
                  <c:v>0.25440634873706358</c:v>
                </c:pt>
                <c:pt idx="18">
                  <c:v>0.28316803457245787</c:v>
                </c:pt>
                <c:pt idx="19">
                  <c:v>0.31509317034966167</c:v>
                </c:pt>
                <c:pt idx="20">
                  <c:v>0.34719830479960523</c:v>
                </c:pt>
                <c:pt idx="21">
                  <c:v>0.39566151791540027</c:v>
                </c:pt>
                <c:pt idx="22">
                  <c:v>0.46078813146186154</c:v>
                </c:pt>
                <c:pt idx="23">
                  <c:v>0.5099738965017</c:v>
                </c:pt>
              </c:numCache>
            </c:numRef>
          </c:yVal>
          <c:smooth val="0"/>
        </c:ser>
        <c:ser>
          <c:idx val="1"/>
          <c:order val="1"/>
          <c:tx>
            <c:v>S2</c:v>
          </c:tx>
          <c:xVal>
            <c:numRef>
              <c:f>'PCL-PNa'!$J$50:$J$73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'PCL-PNa'!$K$50:$K$73</c:f>
              <c:numCache>
                <c:formatCode>General</c:formatCode>
                <c:ptCount val="24"/>
                <c:pt idx="0">
                  <c:v>6.3243216038854234E-4</c:v>
                </c:pt>
                <c:pt idx="1">
                  <c:v>1.1800484046302349E-3</c:v>
                </c:pt>
                <c:pt idx="2">
                  <c:v>2.2018396983715287E-3</c:v>
                </c:pt>
                <c:pt idx="3">
                  <c:v>3.1713470940259846E-3</c:v>
                </c:pt>
                <c:pt idx="4">
                  <c:v>4.108389145989281E-3</c:v>
                </c:pt>
                <c:pt idx="5">
                  <c:v>2.2140251535879889E-2</c:v>
                </c:pt>
                <c:pt idx="6">
                  <c:v>2.4426332093698044E-2</c:v>
                </c:pt>
                <c:pt idx="7">
                  <c:v>3.8079833010808604E-2</c:v>
                </c:pt>
                <c:pt idx="8">
                  <c:v>5.1894066450018428E-2</c:v>
                </c:pt>
                <c:pt idx="9">
                  <c:v>5.6403167431686094E-2</c:v>
                </c:pt>
                <c:pt idx="10">
                  <c:v>8.3059626092128108E-2</c:v>
                </c:pt>
                <c:pt idx="11">
                  <c:v>0.11740695799400387</c:v>
                </c:pt>
                <c:pt idx="12">
                  <c:v>0.13132010992314203</c:v>
                </c:pt>
                <c:pt idx="13">
                  <c:v>0.16175173362351714</c:v>
                </c:pt>
                <c:pt idx="14">
                  <c:v>0.18551736577437314</c:v>
                </c:pt>
                <c:pt idx="15">
                  <c:v>0.2029692857196353</c:v>
                </c:pt>
                <c:pt idx="16">
                  <c:v>0.24502878872489151</c:v>
                </c:pt>
                <c:pt idx="17">
                  <c:v>0.26400733265874415</c:v>
                </c:pt>
                <c:pt idx="18">
                  <c:v>0.28917565158164382</c:v>
                </c:pt>
                <c:pt idx="19">
                  <c:v>0.31666797728830942</c:v>
                </c:pt>
                <c:pt idx="20">
                  <c:v>0.34389685857928931</c:v>
                </c:pt>
                <c:pt idx="21">
                  <c:v>0.38430045912363858</c:v>
                </c:pt>
                <c:pt idx="22">
                  <c:v>0.43745316443287596</c:v>
                </c:pt>
                <c:pt idx="23">
                  <c:v>0.4768455716311456</c:v>
                </c:pt>
              </c:numCache>
            </c:numRef>
          </c:yVal>
          <c:smooth val="0"/>
        </c:ser>
        <c:ser>
          <c:idx val="2"/>
          <c:order val="2"/>
          <c:tx>
            <c:v>S3</c:v>
          </c:tx>
          <c:xVal>
            <c:numRef>
              <c:f>'PCL-PNa'!$P$50:$P$72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</c:numCache>
            </c:numRef>
          </c:xVal>
          <c:yVal>
            <c:numRef>
              <c:f>'PCL-PNa'!$Q$50:$Q$72</c:f>
              <c:numCache>
                <c:formatCode>General</c:formatCode>
                <c:ptCount val="23"/>
                <c:pt idx="0">
                  <c:v>3.9384544894943115E-3</c:v>
                </c:pt>
                <c:pt idx="1">
                  <c:v>6.2152422533250885E-3</c:v>
                </c:pt>
                <c:pt idx="2">
                  <c:v>9.808222075578037E-3</c:v>
                </c:pt>
                <c:pt idx="3">
                  <c:v>1.2808262360520845E-2</c:v>
                </c:pt>
                <c:pt idx="4">
                  <c:v>1.5478273631633536E-2</c:v>
                </c:pt>
                <c:pt idx="5">
                  <c:v>5.3059928713375906E-2</c:v>
                </c:pt>
                <c:pt idx="6">
                  <c:v>5.7013889098788073E-2</c:v>
                </c:pt>
                <c:pt idx="7">
                  <c:v>7.8890729302644416E-2</c:v>
                </c:pt>
                <c:pt idx="8">
                  <c:v>9.8934061168842499E-2</c:v>
                </c:pt>
                <c:pt idx="9">
                  <c:v>0.10515089295261412</c:v>
                </c:pt>
                <c:pt idx="10">
                  <c:v>0.13955818886770902</c:v>
                </c:pt>
                <c:pt idx="11">
                  <c:v>0.1797591751135646</c:v>
                </c:pt>
                <c:pt idx="12">
                  <c:v>0.19510373949740509</c:v>
                </c:pt>
                <c:pt idx="13">
                  <c:v>0.22723349549601046</c:v>
                </c:pt>
                <c:pt idx="14">
                  <c:v>0.25119910628643116</c:v>
                </c:pt>
                <c:pt idx="15">
                  <c:v>0.26827305990177797</c:v>
                </c:pt>
                <c:pt idx="16">
                  <c:v>0.30789158761148983</c:v>
                </c:pt>
                <c:pt idx="17">
                  <c:v>0.32515850237010885</c:v>
                </c:pt>
                <c:pt idx="18">
                  <c:v>0.34755199343580745</c:v>
                </c:pt>
                <c:pt idx="19">
                  <c:v>0.37142308334596413</c:v>
                </c:pt>
                <c:pt idx="20">
                  <c:v>0.39452219621353934</c:v>
                </c:pt>
                <c:pt idx="21">
                  <c:v>0.42791476410299806</c:v>
                </c:pt>
                <c:pt idx="22">
                  <c:v>0.47044366593092257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7056"/>
        <c:axId val="93597632"/>
      </c:scatterChart>
      <c:valAx>
        <c:axId val="935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597632"/>
        <c:crosses val="autoZero"/>
        <c:crossBetween val="midCat"/>
      </c:valAx>
      <c:valAx>
        <c:axId val="9359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59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The percent release of MB with PEG in Enzyme over time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xVal>
            <c:numRef>
              <c:f>'PEG-MB (2)'!$A$3:$A$29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'PEG-MB (2)'!$F$3:$F$29</c:f>
              <c:numCache>
                <c:formatCode>General</c:formatCode>
                <c:ptCount val="27"/>
                <c:pt idx="0">
                  <c:v>4.070394445265179E-2</c:v>
                </c:pt>
                <c:pt idx="1">
                  <c:v>6.1622839414980035E-2</c:v>
                </c:pt>
                <c:pt idx="2">
                  <c:v>6.4563635692125851E-2</c:v>
                </c:pt>
                <c:pt idx="3">
                  <c:v>7.4017637852710857E-2</c:v>
                </c:pt>
                <c:pt idx="4">
                  <c:v>8.1620658055104114E-2</c:v>
                </c:pt>
                <c:pt idx="5">
                  <c:v>8.1620658055104114E-2</c:v>
                </c:pt>
                <c:pt idx="6">
                  <c:v>8.1620658055104114E-2</c:v>
                </c:pt>
                <c:pt idx="7">
                  <c:v>8.1620658055104114E-2</c:v>
                </c:pt>
                <c:pt idx="8">
                  <c:v>8.1620658055104114E-2</c:v>
                </c:pt>
                <c:pt idx="9">
                  <c:v>8.1620658055104114E-2</c:v>
                </c:pt>
                <c:pt idx="10">
                  <c:v>8.1620658055104114E-2</c:v>
                </c:pt>
                <c:pt idx="11">
                  <c:v>0.2105502404293467</c:v>
                </c:pt>
                <c:pt idx="12">
                  <c:v>0.2105502404293467</c:v>
                </c:pt>
                <c:pt idx="13">
                  <c:v>0.26213977886821987</c:v>
                </c:pt>
                <c:pt idx="14">
                  <c:v>0.26213977886821987</c:v>
                </c:pt>
                <c:pt idx="15">
                  <c:v>0.26213977886821987</c:v>
                </c:pt>
                <c:pt idx="16">
                  <c:v>0.26213977886821987</c:v>
                </c:pt>
                <c:pt idx="17">
                  <c:v>0.29719664952293989</c:v>
                </c:pt>
                <c:pt idx="18">
                  <c:v>0.33090189868241232</c:v>
                </c:pt>
                <c:pt idx="19">
                  <c:v>0.35724693832348414</c:v>
                </c:pt>
                <c:pt idx="20">
                  <c:v>0.42477532300658166</c:v>
                </c:pt>
                <c:pt idx="21">
                  <c:v>0.64789448776833436</c:v>
                </c:pt>
                <c:pt idx="22">
                  <c:v>0.72978226449801564</c:v>
                </c:pt>
                <c:pt idx="23">
                  <c:v>0.88594966266219977</c:v>
                </c:pt>
                <c:pt idx="24">
                  <c:v>0.90409411196813483</c:v>
                </c:pt>
                <c:pt idx="25">
                  <c:v>0.99129696100312348</c:v>
                </c:pt>
                <c:pt idx="26">
                  <c:v>0.99129696100312348</c:v>
                </c:pt>
              </c:numCache>
            </c:numRef>
          </c:yVal>
          <c:smooth val="0"/>
        </c:ser>
        <c:ser>
          <c:idx val="1"/>
          <c:order val="1"/>
          <c:tx>
            <c:v>S2</c:v>
          </c:tx>
          <c:xVal>
            <c:numRef>
              <c:f>'PEG-MB (2)'!$A$3:$A$29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'PEG-MB (2)'!$L$3:$L$29</c:f>
              <c:numCache>
                <c:formatCode>General</c:formatCode>
                <c:ptCount val="27"/>
                <c:pt idx="0">
                  <c:v>4.0830748017924856E-2</c:v>
                </c:pt>
                <c:pt idx="1">
                  <c:v>6.3334841433988279E-2</c:v>
                </c:pt>
                <c:pt idx="2">
                  <c:v>6.8753231644260587E-2</c:v>
                </c:pt>
                <c:pt idx="3">
                  <c:v>8.06732861513271E-2</c:v>
                </c:pt>
                <c:pt idx="4">
                  <c:v>8.3115954762366398E-2</c:v>
                </c:pt>
                <c:pt idx="5">
                  <c:v>8.3115954762366398E-2</c:v>
                </c:pt>
                <c:pt idx="6">
                  <c:v>8.3115954762366398E-2</c:v>
                </c:pt>
                <c:pt idx="7">
                  <c:v>8.3115954762366398E-2</c:v>
                </c:pt>
                <c:pt idx="8">
                  <c:v>8.3115954762366398E-2</c:v>
                </c:pt>
                <c:pt idx="9">
                  <c:v>8.3115954762366398E-2</c:v>
                </c:pt>
                <c:pt idx="10">
                  <c:v>8.3115954762366398E-2</c:v>
                </c:pt>
                <c:pt idx="11">
                  <c:v>0.16237349050059785</c:v>
                </c:pt>
                <c:pt idx="12">
                  <c:v>0.16622340257842327</c:v>
                </c:pt>
                <c:pt idx="13">
                  <c:v>0.23991410566416141</c:v>
                </c:pt>
                <c:pt idx="14">
                  <c:v>0.2675618354168674</c:v>
                </c:pt>
                <c:pt idx="15">
                  <c:v>0.27799586524912528</c:v>
                </c:pt>
                <c:pt idx="16">
                  <c:v>0.3395345975344492</c:v>
                </c:pt>
                <c:pt idx="17">
                  <c:v>0.41446795438436485</c:v>
                </c:pt>
                <c:pt idx="18">
                  <c:v>0.41446795438436485</c:v>
                </c:pt>
                <c:pt idx="19">
                  <c:v>0.41446795438436485</c:v>
                </c:pt>
                <c:pt idx="20">
                  <c:v>0.41446795438436485</c:v>
                </c:pt>
                <c:pt idx="21">
                  <c:v>0.65123139798551766</c:v>
                </c:pt>
                <c:pt idx="22">
                  <c:v>0.8560843162184083</c:v>
                </c:pt>
                <c:pt idx="23">
                  <c:v>0.93725465725139523</c:v>
                </c:pt>
                <c:pt idx="24">
                  <c:v>0.93725465725139523</c:v>
                </c:pt>
                <c:pt idx="25">
                  <c:v>0.93725465725139523</c:v>
                </c:pt>
                <c:pt idx="26">
                  <c:v>0.93725465725139523</c:v>
                </c:pt>
              </c:numCache>
            </c:numRef>
          </c:yVal>
          <c:smooth val="0"/>
        </c:ser>
        <c:ser>
          <c:idx val="2"/>
          <c:order val="2"/>
          <c:tx>
            <c:v>S3</c:v>
          </c:tx>
          <c:xVal>
            <c:numRef>
              <c:f>'PEG-MB (2)'!$A$3:$A$29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'PEG-MB (2)'!$R$3:$R$29</c:f>
              <c:numCache>
                <c:formatCode>General</c:formatCode>
                <c:ptCount val="27"/>
                <c:pt idx="0">
                  <c:v>4.1017875609395779E-2</c:v>
                </c:pt>
                <c:pt idx="1">
                  <c:v>5.7680233417048296E-2</c:v>
                </c:pt>
                <c:pt idx="2">
                  <c:v>6.3859598906780904E-2</c:v>
                </c:pt>
                <c:pt idx="3">
                  <c:v>7.1904084798345369E-2</c:v>
                </c:pt>
                <c:pt idx="4">
                  <c:v>7.3225957143780426E-2</c:v>
                </c:pt>
                <c:pt idx="5">
                  <c:v>7.3225957143780426E-2</c:v>
                </c:pt>
                <c:pt idx="6">
                  <c:v>7.3225957143780426E-2</c:v>
                </c:pt>
                <c:pt idx="7">
                  <c:v>7.3225957143780426E-2</c:v>
                </c:pt>
                <c:pt idx="8">
                  <c:v>7.3225957143780426E-2</c:v>
                </c:pt>
                <c:pt idx="9">
                  <c:v>7.3225957143780426E-2</c:v>
                </c:pt>
                <c:pt idx="10">
                  <c:v>7.3225957143780426E-2</c:v>
                </c:pt>
                <c:pt idx="11">
                  <c:v>0.18552670766849727</c:v>
                </c:pt>
                <c:pt idx="12">
                  <c:v>0.18552670766849727</c:v>
                </c:pt>
                <c:pt idx="13">
                  <c:v>0.19697432897017442</c:v>
                </c:pt>
                <c:pt idx="14">
                  <c:v>0.22648352883379971</c:v>
                </c:pt>
                <c:pt idx="15">
                  <c:v>0.25171834545024635</c:v>
                </c:pt>
                <c:pt idx="16">
                  <c:v>0.27056048181735187</c:v>
                </c:pt>
                <c:pt idx="17">
                  <c:v>0.30539744007268987</c:v>
                </c:pt>
                <c:pt idx="18">
                  <c:v>0.30539744007268987</c:v>
                </c:pt>
                <c:pt idx="19">
                  <c:v>0.37569871706042163</c:v>
                </c:pt>
                <c:pt idx="20">
                  <c:v>0.41068021424919882</c:v>
                </c:pt>
                <c:pt idx="21">
                  <c:v>0.57021121791230411</c:v>
                </c:pt>
                <c:pt idx="22">
                  <c:v>0.78984664840731744</c:v>
                </c:pt>
                <c:pt idx="23">
                  <c:v>0.84740834965373146</c:v>
                </c:pt>
                <c:pt idx="24">
                  <c:v>0.94351136390861401</c:v>
                </c:pt>
                <c:pt idx="25">
                  <c:v>0.94351136390861401</c:v>
                </c:pt>
                <c:pt idx="26">
                  <c:v>0.94351136390861401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5328"/>
        <c:axId val="116075904"/>
      </c:scatterChart>
      <c:valAx>
        <c:axId val="1160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075904"/>
        <c:crosses val="autoZero"/>
        <c:crossBetween val="midCat"/>
      </c:valAx>
      <c:valAx>
        <c:axId val="11607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075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percent release of MB with PEG in PBS over time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xVal>
            <c:numRef>
              <c:f>'PEG-MB (2)'!$A$3:$A$29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'PEG-MB (2)'!$X$3:$X$29</c:f>
              <c:numCache>
                <c:formatCode>General</c:formatCode>
                <c:ptCount val="27"/>
                <c:pt idx="0">
                  <c:v>4.6240951396070318E-2</c:v>
                </c:pt>
                <c:pt idx="1">
                  <c:v>6.9519131334022752E-2</c:v>
                </c:pt>
                <c:pt idx="2">
                  <c:v>7.4925672182006187E-2</c:v>
                </c:pt>
                <c:pt idx="3">
                  <c:v>8.0063986556359837E-2</c:v>
                </c:pt>
                <c:pt idx="4">
                  <c:v>8.0063986556359837E-2</c:v>
                </c:pt>
                <c:pt idx="5">
                  <c:v>8.0063986556359837E-2</c:v>
                </c:pt>
                <c:pt idx="6">
                  <c:v>8.0063986556359837E-2</c:v>
                </c:pt>
                <c:pt idx="7">
                  <c:v>8.3508141408168715E-2</c:v>
                </c:pt>
                <c:pt idx="8">
                  <c:v>8.5184714663484748E-2</c:v>
                </c:pt>
                <c:pt idx="9">
                  <c:v>8.5184714663484748E-2</c:v>
                </c:pt>
                <c:pt idx="10">
                  <c:v>8.5523727637905264E-2</c:v>
                </c:pt>
                <c:pt idx="11">
                  <c:v>9.8236714178674966E-2</c:v>
                </c:pt>
                <c:pt idx="12">
                  <c:v>9.8236714178674966E-2</c:v>
                </c:pt>
                <c:pt idx="13">
                  <c:v>9.8236714178674966E-2</c:v>
                </c:pt>
                <c:pt idx="14">
                  <c:v>9.8236714178674966E-2</c:v>
                </c:pt>
                <c:pt idx="15">
                  <c:v>9.8236714178674966E-2</c:v>
                </c:pt>
                <c:pt idx="16">
                  <c:v>9.8236714178674966E-2</c:v>
                </c:pt>
                <c:pt idx="17">
                  <c:v>9.8236714178674966E-2</c:v>
                </c:pt>
                <c:pt idx="18">
                  <c:v>9.8236714178674966E-2</c:v>
                </c:pt>
                <c:pt idx="19">
                  <c:v>9.8236714178674966E-2</c:v>
                </c:pt>
                <c:pt idx="20">
                  <c:v>9.8236714178674966E-2</c:v>
                </c:pt>
                <c:pt idx="21">
                  <c:v>9.8236714178674966E-2</c:v>
                </c:pt>
                <c:pt idx="22">
                  <c:v>9.8236714178674966E-2</c:v>
                </c:pt>
                <c:pt idx="23">
                  <c:v>0.10195929168603962</c:v>
                </c:pt>
                <c:pt idx="24">
                  <c:v>0.12482129781151756</c:v>
                </c:pt>
                <c:pt idx="25">
                  <c:v>0.21652115475638242</c:v>
                </c:pt>
                <c:pt idx="26">
                  <c:v>0.26415033418446149</c:v>
                </c:pt>
              </c:numCache>
            </c:numRef>
          </c:yVal>
          <c:smooth val="0"/>
        </c:ser>
        <c:ser>
          <c:idx val="1"/>
          <c:order val="1"/>
          <c:tx>
            <c:v>C2</c:v>
          </c:tx>
          <c:xVal>
            <c:numRef>
              <c:f>'PEG-MB (2)'!$A$3:$A$29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'PEG-MB (2)'!$AD$3:$AD$29</c:f>
              <c:numCache>
                <c:formatCode>General</c:formatCode>
                <c:ptCount val="27"/>
                <c:pt idx="0">
                  <c:v>4.4604854950198655E-2</c:v>
                </c:pt>
                <c:pt idx="1">
                  <c:v>5.8179801883198164E-2</c:v>
                </c:pt>
                <c:pt idx="2">
                  <c:v>6.9331525880367909E-2</c:v>
                </c:pt>
                <c:pt idx="3">
                  <c:v>7.899456743591135E-2</c:v>
                </c:pt>
                <c:pt idx="4">
                  <c:v>7.9379255352623371E-2</c:v>
                </c:pt>
                <c:pt idx="5">
                  <c:v>8.7925107388389129E-2</c:v>
                </c:pt>
                <c:pt idx="6">
                  <c:v>8.7925107388389129E-2</c:v>
                </c:pt>
                <c:pt idx="7">
                  <c:v>8.9674608984996795E-2</c:v>
                </c:pt>
                <c:pt idx="8">
                  <c:v>8.9674608984996795E-2</c:v>
                </c:pt>
                <c:pt idx="9">
                  <c:v>8.9674608984996795E-2</c:v>
                </c:pt>
                <c:pt idx="10">
                  <c:v>9.1469634022404017E-2</c:v>
                </c:pt>
                <c:pt idx="11">
                  <c:v>9.9890466913493986E-2</c:v>
                </c:pt>
                <c:pt idx="12">
                  <c:v>9.9890466913493986E-2</c:v>
                </c:pt>
                <c:pt idx="13">
                  <c:v>9.9890466913493986E-2</c:v>
                </c:pt>
                <c:pt idx="14">
                  <c:v>9.9890466913493986E-2</c:v>
                </c:pt>
                <c:pt idx="15">
                  <c:v>9.9890466913493986E-2</c:v>
                </c:pt>
                <c:pt idx="16">
                  <c:v>9.9890466913493986E-2</c:v>
                </c:pt>
                <c:pt idx="17">
                  <c:v>9.9890466913493986E-2</c:v>
                </c:pt>
                <c:pt idx="18">
                  <c:v>9.9890466913493986E-2</c:v>
                </c:pt>
                <c:pt idx="19">
                  <c:v>0.1053693680504062</c:v>
                </c:pt>
                <c:pt idx="20">
                  <c:v>0.12675481774880845</c:v>
                </c:pt>
                <c:pt idx="21">
                  <c:v>0.14870676942597644</c:v>
                </c:pt>
                <c:pt idx="22">
                  <c:v>0.1758147742692534</c:v>
                </c:pt>
                <c:pt idx="23">
                  <c:v>0.21018385183840801</c:v>
                </c:pt>
                <c:pt idx="24">
                  <c:v>0.21018385183840801</c:v>
                </c:pt>
                <c:pt idx="25">
                  <c:v>0.24203575752925841</c:v>
                </c:pt>
                <c:pt idx="26">
                  <c:v>0.29849275900650729</c:v>
                </c:pt>
              </c:numCache>
            </c:numRef>
          </c:yVal>
          <c:smooth val="0"/>
        </c:ser>
        <c:ser>
          <c:idx val="2"/>
          <c:order val="2"/>
          <c:tx>
            <c:v>C3</c:v>
          </c:tx>
          <c:xVal>
            <c:numRef>
              <c:f>'PEG-MB (2)'!$A$3:$A$29</c:f>
              <c:numCache>
                <c:formatCode>General</c:formatCode>
                <c:ptCount val="2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  <c:pt idx="24">
                  <c:v>860</c:v>
                </c:pt>
                <c:pt idx="25">
                  <c:v>956</c:v>
                </c:pt>
                <c:pt idx="26">
                  <c:v>980</c:v>
                </c:pt>
              </c:numCache>
            </c:numRef>
          </c:xVal>
          <c:yVal>
            <c:numRef>
              <c:f>'PEG-MB (2)'!$AJ$3:$AJ$29</c:f>
              <c:numCache>
                <c:formatCode>General</c:formatCode>
                <c:ptCount val="27"/>
                <c:pt idx="0">
                  <c:v>5.8530248190279202E-2</c:v>
                </c:pt>
                <c:pt idx="1">
                  <c:v>7.4757626680455005E-2</c:v>
                </c:pt>
                <c:pt idx="2">
                  <c:v>8.6987784384694899E-2</c:v>
                </c:pt>
                <c:pt idx="3">
                  <c:v>0.10269811999095134</c:v>
                </c:pt>
                <c:pt idx="4">
                  <c:v>0.10269811999095134</c:v>
                </c:pt>
                <c:pt idx="5">
                  <c:v>0.10750582200911314</c:v>
                </c:pt>
                <c:pt idx="6">
                  <c:v>0.10750582200911314</c:v>
                </c:pt>
                <c:pt idx="7">
                  <c:v>0.10939640490937247</c:v>
                </c:pt>
                <c:pt idx="8">
                  <c:v>0.11330738185973289</c:v>
                </c:pt>
                <c:pt idx="9">
                  <c:v>0.11330738185973289</c:v>
                </c:pt>
                <c:pt idx="10">
                  <c:v>0.11773959125826483</c:v>
                </c:pt>
                <c:pt idx="11">
                  <c:v>0.12843908632276205</c:v>
                </c:pt>
                <c:pt idx="12">
                  <c:v>0.12843908632276205</c:v>
                </c:pt>
                <c:pt idx="13">
                  <c:v>0.12843908632276205</c:v>
                </c:pt>
                <c:pt idx="14">
                  <c:v>0.12843908632276205</c:v>
                </c:pt>
                <c:pt idx="15">
                  <c:v>0.12843908632276205</c:v>
                </c:pt>
                <c:pt idx="16">
                  <c:v>0.12843908632276205</c:v>
                </c:pt>
                <c:pt idx="17">
                  <c:v>0.14190647967287393</c:v>
                </c:pt>
                <c:pt idx="18">
                  <c:v>0.19529362615174634</c:v>
                </c:pt>
                <c:pt idx="19">
                  <c:v>0.20935080625283659</c:v>
                </c:pt>
                <c:pt idx="20">
                  <c:v>0.21964343907953446</c:v>
                </c:pt>
                <c:pt idx="21">
                  <c:v>0.25891353327943589</c:v>
                </c:pt>
                <c:pt idx="22">
                  <c:v>0.25891353327943589</c:v>
                </c:pt>
                <c:pt idx="23">
                  <c:v>0.25891353327943589</c:v>
                </c:pt>
                <c:pt idx="24">
                  <c:v>0.25891353327943589</c:v>
                </c:pt>
                <c:pt idx="25">
                  <c:v>0.25891353327943589</c:v>
                </c:pt>
                <c:pt idx="26">
                  <c:v>0.25891353327943589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7632"/>
        <c:axId val="116078208"/>
      </c:scatterChart>
      <c:valAx>
        <c:axId val="1160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078208"/>
        <c:crosses val="autoZero"/>
        <c:crossBetween val="midCat"/>
      </c:valAx>
      <c:valAx>
        <c:axId val="11607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07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PNa with PCl in PBS under 60% releasing</a:t>
            </a:r>
          </a:p>
        </c:rich>
      </c:tx>
      <c:layout>
        <c:manualLayout>
          <c:xMode val="edge"/>
          <c:yMode val="edge"/>
          <c:x val="0.11361406747233518"/>
          <c:y val="3.100775193798449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28575">
              <a:noFill/>
            </a:ln>
          </c:spPr>
          <c:xVal>
            <c:numRef>
              <c:f>'PCL-PNa'!$V$50:$V$73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'PCL-PNa'!$W$50:$W$73</c:f>
              <c:numCache>
                <c:formatCode>General</c:formatCode>
                <c:ptCount val="24"/>
                <c:pt idx="0">
                  <c:v>1.5332851672428228E-3</c:v>
                </c:pt>
                <c:pt idx="1">
                  <c:v>2.6202088392461532E-3</c:v>
                </c:pt>
                <c:pt idx="2">
                  <c:v>4.477636977085816E-3</c:v>
                </c:pt>
                <c:pt idx="3">
                  <c:v>6.1260035342291666E-3</c:v>
                </c:pt>
                <c:pt idx="4">
                  <c:v>7.6517690491932199E-3</c:v>
                </c:pt>
                <c:pt idx="5">
                  <c:v>3.2522895866129067E-2</c:v>
                </c:pt>
                <c:pt idx="6">
                  <c:v>3.5387599829138784E-2</c:v>
                </c:pt>
                <c:pt idx="7">
                  <c:v>5.182192783086656E-2</c:v>
                </c:pt>
                <c:pt idx="8">
                  <c:v>6.7607294596688405E-2</c:v>
                </c:pt>
                <c:pt idx="9">
                  <c:v>7.2623987452121536E-2</c:v>
                </c:pt>
                <c:pt idx="10">
                  <c:v>0.10126981814623909</c:v>
                </c:pt>
                <c:pt idx="11">
                  <c:v>0.13633371196347618</c:v>
                </c:pt>
                <c:pt idx="12">
                  <c:v>0.15010208982391979</c:v>
                </c:pt>
                <c:pt idx="13">
                  <c:v>0.1795348660651693</c:v>
                </c:pt>
                <c:pt idx="14">
                  <c:v>0.20197366226372696</c:v>
                </c:pt>
                <c:pt idx="15">
                  <c:v>0.21819169462002075</c:v>
                </c:pt>
                <c:pt idx="16">
                  <c:v>0.25650728967344738</c:v>
                </c:pt>
                <c:pt idx="17">
                  <c:v>0.27348466445038078</c:v>
                </c:pt>
                <c:pt idx="18">
                  <c:v>0.29573721319547891</c:v>
                </c:pt>
                <c:pt idx="19">
                  <c:v>0.31973503262604708</c:v>
                </c:pt>
                <c:pt idx="20">
                  <c:v>0.34321479584508174</c:v>
                </c:pt>
                <c:pt idx="21">
                  <c:v>0.3775812289082664</c:v>
                </c:pt>
                <c:pt idx="22">
                  <c:v>0.42202956114105833</c:v>
                </c:pt>
                <c:pt idx="23">
                  <c:v>0.4544772962743569</c:v>
                </c:pt>
              </c:numCache>
            </c:numRef>
          </c:yVal>
          <c:smooth val="0"/>
        </c:ser>
        <c:ser>
          <c:idx val="1"/>
          <c:order val="1"/>
          <c:tx>
            <c:v>C2</c:v>
          </c:tx>
          <c:spPr>
            <a:ln w="28575">
              <a:noFill/>
            </a:ln>
          </c:spPr>
          <c:xVal>
            <c:numRef>
              <c:f>'PCL-PNa'!$AB$50:$AB$73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'PCL-PNa'!$AC$50:$AC$73</c:f>
              <c:numCache>
                <c:formatCode>General</c:formatCode>
                <c:ptCount val="24"/>
                <c:pt idx="0">
                  <c:v>1.2687247933924183E-3</c:v>
                </c:pt>
                <c:pt idx="1">
                  <c:v>2.2079217923833393E-3</c:v>
                </c:pt>
                <c:pt idx="2">
                  <c:v>3.8423767444839703E-3</c:v>
                </c:pt>
                <c:pt idx="3">
                  <c:v>5.3131421304646979E-3</c:v>
                </c:pt>
                <c:pt idx="4">
                  <c:v>6.6867672113577886E-3</c:v>
                </c:pt>
                <c:pt idx="5">
                  <c:v>2.9852857447398479E-2</c:v>
                </c:pt>
                <c:pt idx="6">
                  <c:v>3.2575635723295256E-2</c:v>
                </c:pt>
                <c:pt idx="7">
                  <c:v>4.8326073071054701E-2</c:v>
                </c:pt>
                <c:pt idx="8">
                  <c:v>6.3618492577138044E-2</c:v>
                </c:pt>
                <c:pt idx="9">
                  <c:v>6.8505533572823143E-2</c:v>
                </c:pt>
                <c:pt idx="10">
                  <c:v>9.6611680033093367E-2</c:v>
                </c:pt>
                <c:pt idx="11">
                  <c:v>0.1313826703705801</c:v>
                </c:pt>
                <c:pt idx="12">
                  <c:v>0.14512445258001011</c:v>
                </c:pt>
                <c:pt idx="13">
                  <c:v>0.1746399408394419</c:v>
                </c:pt>
                <c:pt idx="14">
                  <c:v>0.19725431287802223</c:v>
                </c:pt>
                <c:pt idx="15">
                  <c:v>0.21365308592781457</c:v>
                </c:pt>
                <c:pt idx="16">
                  <c:v>0.25255551332163451</c:v>
                </c:pt>
                <c:pt idx="17">
                  <c:v>0.26985805154802966</c:v>
                </c:pt>
                <c:pt idx="18">
                  <c:v>0.29259180126218731</c:v>
                </c:pt>
                <c:pt idx="19">
                  <c:v>0.31717369416111663</c:v>
                </c:pt>
                <c:pt idx="20">
                  <c:v>0.3412857310001598</c:v>
                </c:pt>
                <c:pt idx="21">
                  <c:v>0.37667781225720115</c:v>
                </c:pt>
                <c:pt idx="22">
                  <c:v>0.42261407829103415</c:v>
                </c:pt>
                <c:pt idx="23">
                  <c:v>0.45625306997339693</c:v>
                </c:pt>
              </c:numCache>
            </c:numRef>
          </c:yVal>
          <c:smooth val="0"/>
        </c:ser>
        <c:ser>
          <c:idx val="2"/>
          <c:order val="2"/>
          <c:tx>
            <c:v>C3</c:v>
          </c:tx>
          <c:spPr>
            <a:ln w="28575">
              <a:noFill/>
            </a:ln>
          </c:spPr>
          <c:xVal>
            <c:numRef>
              <c:f>'PCL-PNa'!$AH$50:$AH$73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'PCL-PNa'!$AI$50:$AI$73</c:f>
              <c:numCache>
                <c:formatCode>General</c:formatCode>
                <c:ptCount val="24"/>
                <c:pt idx="0">
                  <c:v>2.015954132516115E-4</c:v>
                </c:pt>
                <c:pt idx="1">
                  <c:v>4.212135418043795E-4</c:v>
                </c:pt>
                <c:pt idx="2">
                  <c:v>8.8008375258989918E-4</c:v>
                </c:pt>
                <c:pt idx="3">
                  <c:v>1.3543305801230854E-3</c:v>
                </c:pt>
                <c:pt idx="4">
                  <c:v>1.838847365293007E-3</c:v>
                </c:pt>
                <c:pt idx="5">
                  <c:v>1.3450701435819546E-2</c:v>
                </c:pt>
                <c:pt idx="6">
                  <c:v>1.5106420054335372E-2</c:v>
                </c:pt>
                <c:pt idx="7">
                  <c:v>2.5525653241769211E-2</c:v>
                </c:pt>
                <c:pt idx="8">
                  <c:v>3.6794454531340698E-2</c:v>
                </c:pt>
                <c:pt idx="9">
                  <c:v>4.0600546020477052E-2</c:v>
                </c:pt>
                <c:pt idx="10">
                  <c:v>6.4136823000550958E-2</c:v>
                </c:pt>
                <c:pt idx="11">
                  <c:v>9.6532781911524063E-2</c:v>
                </c:pt>
                <c:pt idx="12">
                  <c:v>0.11018805797521637</c:v>
                </c:pt>
                <c:pt idx="13">
                  <c:v>0.14095197966012912</c:v>
                </c:pt>
                <c:pt idx="14">
                  <c:v>0.16573183193496999</c:v>
                </c:pt>
                <c:pt idx="15">
                  <c:v>0.18430374831579691</c:v>
                </c:pt>
                <c:pt idx="16">
                  <c:v>0.23022697498756806</c:v>
                </c:pt>
                <c:pt idx="17">
                  <c:v>0.25143856724324876</c:v>
                </c:pt>
                <c:pt idx="18">
                  <c:v>0.27999533796470366</c:v>
                </c:pt>
                <c:pt idx="19">
                  <c:v>0.31170779273472043</c:v>
                </c:pt>
                <c:pt idx="20">
                  <c:v>0.34361318668895069</c:v>
                </c:pt>
                <c:pt idx="21">
                  <c:v>0.39179891239983811</c:v>
                </c:pt>
                <c:pt idx="22">
                  <c:v>0.45659270402809166</c:v>
                </c:pt>
                <c:pt idx="23">
                  <c:v>0.50555393813408034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9936"/>
        <c:axId val="93600512"/>
      </c:scatterChart>
      <c:valAx>
        <c:axId val="935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600512"/>
        <c:crosses val="autoZero"/>
        <c:crossBetween val="midCat"/>
      </c:valAx>
      <c:valAx>
        <c:axId val="9360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59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PCL-PNa S1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4836679790026246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'PCL-PNa'!$D$50:$D$73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'PCL-PNa'!$E$50:$E$73</c:f>
              <c:numCache>
                <c:formatCode>General</c:formatCode>
                <c:ptCount val="24"/>
                <c:pt idx="0">
                  <c:v>2.1037988182315582E-4</c:v>
                </c:pt>
                <c:pt idx="1">
                  <c:v>4.3816523141116808E-4</c:v>
                </c:pt>
                <c:pt idx="2">
                  <c:v>9.1258141393475635E-4</c:v>
                </c:pt>
                <c:pt idx="3">
                  <c:v>1.4017171570538754E-3</c:v>
                </c:pt>
                <c:pt idx="4">
                  <c:v>1.9006638988150718E-3</c:v>
                </c:pt>
                <c:pt idx="5">
                  <c:v>1.3783402608303611E-2</c:v>
                </c:pt>
                <c:pt idx="6">
                  <c:v>1.547228308973962E-2</c:v>
                </c:pt>
                <c:pt idx="7">
                  <c:v>2.6084447925472546E-2</c:v>
                </c:pt>
                <c:pt idx="8">
                  <c:v>3.7540356697032054E-2</c:v>
                </c:pt>
                <c:pt idx="9">
                  <c:v>4.1405924931760353E-2</c:v>
                </c:pt>
                <c:pt idx="10">
                  <c:v>6.5279499165548469E-2</c:v>
                </c:pt>
                <c:pt idx="11">
                  <c:v>9.8078555626379252E-2</c:v>
                </c:pt>
                <c:pt idx="12">
                  <c:v>0.11188826996468958</c:v>
                </c:pt>
                <c:pt idx="13">
                  <c:v>0.14297411363875331</c:v>
                </c:pt>
                <c:pt idx="14">
                  <c:v>0.16799142486141558</c:v>
                </c:pt>
                <c:pt idx="15">
                  <c:v>0.18673051156545206</c:v>
                </c:pt>
                <c:pt idx="16">
                  <c:v>0.23303345013989529</c:v>
                </c:pt>
                <c:pt idx="17">
                  <c:v>0.25440634873706358</c:v>
                </c:pt>
                <c:pt idx="18">
                  <c:v>0.28316803457245787</c:v>
                </c:pt>
                <c:pt idx="19">
                  <c:v>0.31509317034966167</c:v>
                </c:pt>
                <c:pt idx="20">
                  <c:v>0.34719830479960523</c:v>
                </c:pt>
                <c:pt idx="21">
                  <c:v>0.39566151791540027</c:v>
                </c:pt>
                <c:pt idx="22">
                  <c:v>0.46078813146186154</c:v>
                </c:pt>
                <c:pt idx="23">
                  <c:v>0.5099738965017</c:v>
                </c:pt>
              </c:numCache>
            </c:numRef>
          </c:yVal>
          <c:smooth val="0"/>
        </c:ser>
        <c:ser>
          <c:idx val="1"/>
          <c:order val="1"/>
          <c:tx>
            <c:v>S1 d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3515483311367192"/>
                  <c:y val="-0.33981308397797033"/>
                </c:manualLayout>
              </c:layout>
              <c:numFmt formatCode="General" sourceLinked="0"/>
            </c:trendlineLbl>
          </c:trendline>
          <c:xVal>
            <c:numRef>
              <c:f>'PCL-PNa'!$D$50:$D$73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'PCL-PNa'!$C$50:$C$73</c:f>
              <c:numCache>
                <c:formatCode>General</c:formatCode>
                <c:ptCount val="24"/>
                <c:pt idx="0">
                  <c:v>5.8615828882863201E-3</c:v>
                </c:pt>
                <c:pt idx="1">
                  <c:v>1.5679956801872917E-2</c:v>
                </c:pt>
                <c:pt idx="2">
                  <c:v>2.9937307916938029E-2</c:v>
                </c:pt>
                <c:pt idx="3">
                  <c:v>4.2506950031579074E-2</c:v>
                </c:pt>
                <c:pt idx="4">
                  <c:v>4.8408288308196788E-2</c:v>
                </c:pt>
                <c:pt idx="5">
                  <c:v>6.9383008857035244E-2</c:v>
                </c:pt>
                <c:pt idx="6">
                  <c:v>7.0263823373944573E-2</c:v>
                </c:pt>
                <c:pt idx="7">
                  <c:v>8.2143860053218984E-2</c:v>
                </c:pt>
                <c:pt idx="8">
                  <c:v>8.2931885838580466E-2</c:v>
                </c:pt>
                <c:pt idx="9">
                  <c:v>9.1918674104794137E-2</c:v>
                </c:pt>
                <c:pt idx="10">
                  <c:v>0.10377544918268296</c:v>
                </c:pt>
                <c:pt idx="11">
                  <c:v>0.11925576480661912</c:v>
                </c:pt>
                <c:pt idx="12">
                  <c:v>0.1199127226455978</c:v>
                </c:pt>
                <c:pt idx="13">
                  <c:v>0.14133552054029647</c:v>
                </c:pt>
                <c:pt idx="14">
                  <c:v>0.16694567811548591</c:v>
                </c:pt>
                <c:pt idx="15">
                  <c:v>0.17625413613226604</c:v>
                </c:pt>
                <c:pt idx="16">
                  <c:v>0.18027846948538531</c:v>
                </c:pt>
                <c:pt idx="17">
                  <c:v>0.22221318949832347</c:v>
                </c:pt>
                <c:pt idx="18">
                  <c:v>0.23657539367521649</c:v>
                </c:pt>
                <c:pt idx="19">
                  <c:v>0.28546703416318009</c:v>
                </c:pt>
                <c:pt idx="20">
                  <c:v>0.33376632485958391</c:v>
                </c:pt>
                <c:pt idx="21">
                  <c:v>0.40083285174049865</c:v>
                </c:pt>
                <c:pt idx="22">
                  <c:v>0.47701245233771594</c:v>
                </c:pt>
                <c:pt idx="23">
                  <c:v>0.56483925530427992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5904"/>
        <c:axId val="93635136"/>
      </c:scatterChart>
      <c:valAx>
        <c:axId val="935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635136"/>
        <c:crosses val="autoZero"/>
        <c:crossBetween val="midCat"/>
      </c:valAx>
      <c:valAx>
        <c:axId val="9363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59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8281277340332459"/>
                  <c:y val="1.9586614173228347E-3"/>
                </c:manualLayout>
              </c:layout>
              <c:numFmt formatCode="General" sourceLinked="0"/>
            </c:trendlineLbl>
          </c:trendline>
          <c:xVal>
            <c:numRef>
              <c:f>'PCL-PNa'!$J$50:$J$73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'PCL-PNa'!$K$50:$K$73</c:f>
              <c:numCache>
                <c:formatCode>General</c:formatCode>
                <c:ptCount val="24"/>
                <c:pt idx="0">
                  <c:v>6.3243216038854234E-4</c:v>
                </c:pt>
                <c:pt idx="1">
                  <c:v>1.1800484046302349E-3</c:v>
                </c:pt>
                <c:pt idx="2">
                  <c:v>2.2018396983715287E-3</c:v>
                </c:pt>
                <c:pt idx="3">
                  <c:v>3.1713470940259846E-3</c:v>
                </c:pt>
                <c:pt idx="4">
                  <c:v>4.108389145989281E-3</c:v>
                </c:pt>
                <c:pt idx="5">
                  <c:v>2.2140251535879889E-2</c:v>
                </c:pt>
                <c:pt idx="6">
                  <c:v>2.4426332093698044E-2</c:v>
                </c:pt>
                <c:pt idx="7">
                  <c:v>3.8079833010808604E-2</c:v>
                </c:pt>
                <c:pt idx="8">
                  <c:v>5.1894066450018428E-2</c:v>
                </c:pt>
                <c:pt idx="9">
                  <c:v>5.6403167431686094E-2</c:v>
                </c:pt>
                <c:pt idx="10">
                  <c:v>8.3059626092128108E-2</c:v>
                </c:pt>
                <c:pt idx="11">
                  <c:v>0.11740695799400387</c:v>
                </c:pt>
                <c:pt idx="12">
                  <c:v>0.13132010992314203</c:v>
                </c:pt>
                <c:pt idx="13">
                  <c:v>0.16175173362351714</c:v>
                </c:pt>
                <c:pt idx="14">
                  <c:v>0.18551736577437314</c:v>
                </c:pt>
                <c:pt idx="15">
                  <c:v>0.2029692857196353</c:v>
                </c:pt>
                <c:pt idx="16">
                  <c:v>0.24502878872489151</c:v>
                </c:pt>
                <c:pt idx="17">
                  <c:v>0.26400733265874415</c:v>
                </c:pt>
                <c:pt idx="18">
                  <c:v>0.28917565158164382</c:v>
                </c:pt>
                <c:pt idx="19">
                  <c:v>0.31666797728830942</c:v>
                </c:pt>
                <c:pt idx="20">
                  <c:v>0.34389685857928931</c:v>
                </c:pt>
                <c:pt idx="21">
                  <c:v>0.38430045912363858</c:v>
                </c:pt>
                <c:pt idx="22">
                  <c:v>0.43745316443287596</c:v>
                </c:pt>
                <c:pt idx="23">
                  <c:v>0.4768455716311456</c:v>
                </c:pt>
              </c:numCache>
            </c:numRef>
          </c:yVal>
          <c:smooth val="0"/>
        </c:ser>
        <c:ser>
          <c:idx val="1"/>
          <c:order val="1"/>
          <c:tx>
            <c:v>S2 d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9947944006999125"/>
                  <c:y val="-0.27185331000291629"/>
                </c:manualLayout>
              </c:layout>
              <c:numFmt formatCode="General" sourceLinked="0"/>
            </c:trendlineLbl>
          </c:trendline>
          <c:xVal>
            <c:numRef>
              <c:f>'PCL-PNa'!$J$50:$J$73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'PCL-PNa'!$I$50:$I$73</c:f>
              <c:numCache>
                <c:formatCode>General</c:formatCode>
                <c:ptCount val="24"/>
                <c:pt idx="0">
                  <c:v>6.8891555561409225E-3</c:v>
                </c:pt>
                <c:pt idx="1">
                  <c:v>9.8114535026297238E-3</c:v>
                </c:pt>
                <c:pt idx="2">
                  <c:v>2.1454718628080648E-2</c:v>
                </c:pt>
                <c:pt idx="3">
                  <c:v>3.2380494350178333E-2</c:v>
                </c:pt>
                <c:pt idx="4">
                  <c:v>4.0302458343244078E-2</c:v>
                </c:pt>
                <c:pt idx="5">
                  <c:v>7.3947017733117834E-2</c:v>
                </c:pt>
                <c:pt idx="6">
                  <c:v>7.3947017733117834E-2</c:v>
                </c:pt>
                <c:pt idx="7">
                  <c:v>8.2958640947045997E-2</c:v>
                </c:pt>
                <c:pt idx="8">
                  <c:v>9.4132982675665125E-2</c:v>
                </c:pt>
                <c:pt idx="9">
                  <c:v>9.9304232994129604E-2</c:v>
                </c:pt>
                <c:pt idx="10">
                  <c:v>0.11200683719041959</c:v>
                </c:pt>
                <c:pt idx="11">
                  <c:v>0.13076749868265536</c:v>
                </c:pt>
                <c:pt idx="12">
                  <c:v>0.13365324104786988</c:v>
                </c:pt>
                <c:pt idx="13">
                  <c:v>0.1478838708474286</c:v>
                </c:pt>
                <c:pt idx="14">
                  <c:v>0.16727831663423554</c:v>
                </c:pt>
                <c:pt idx="15">
                  <c:v>0.18950281593582041</c:v>
                </c:pt>
                <c:pt idx="16">
                  <c:v>0.21403060250774272</c:v>
                </c:pt>
                <c:pt idx="17">
                  <c:v>0.23934953958047156</c:v>
                </c:pt>
                <c:pt idx="18">
                  <c:v>0.26601905327890707</c:v>
                </c:pt>
                <c:pt idx="19">
                  <c:v>0.27386361274358995</c:v>
                </c:pt>
                <c:pt idx="20">
                  <c:v>0.30912187510307282</c:v>
                </c:pt>
                <c:pt idx="21">
                  <c:v>0.3757484329138544</c:v>
                </c:pt>
                <c:pt idx="22">
                  <c:v>0.45674876022063166</c:v>
                </c:pt>
                <c:pt idx="23">
                  <c:v>0.55290077272998317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4176"/>
        <c:axId val="93637440"/>
      </c:scatterChart>
      <c:valAx>
        <c:axId val="935941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3637440"/>
        <c:crosses val="autoZero"/>
        <c:crossBetween val="midCat"/>
      </c:valAx>
      <c:valAx>
        <c:axId val="936374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359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2425218722659666"/>
                  <c:y val="2.2789078448527268E-2"/>
                </c:manualLayout>
              </c:layout>
              <c:numFmt formatCode="General" sourceLinked="0"/>
            </c:trendlineLbl>
          </c:trendline>
          <c:xVal>
            <c:numRef>
              <c:f>'PCL-PNa'!$P$50:$P$72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</c:numCache>
            </c:numRef>
          </c:xVal>
          <c:yVal>
            <c:numRef>
              <c:f>'PCL-PNa'!$Q$50:$Q$72</c:f>
              <c:numCache>
                <c:formatCode>General</c:formatCode>
                <c:ptCount val="23"/>
                <c:pt idx="0">
                  <c:v>3.9384544894943115E-3</c:v>
                </c:pt>
                <c:pt idx="1">
                  <c:v>6.2152422533250885E-3</c:v>
                </c:pt>
                <c:pt idx="2">
                  <c:v>9.808222075578037E-3</c:v>
                </c:pt>
                <c:pt idx="3">
                  <c:v>1.2808262360520845E-2</c:v>
                </c:pt>
                <c:pt idx="4">
                  <c:v>1.5478273631633536E-2</c:v>
                </c:pt>
                <c:pt idx="5">
                  <c:v>5.3059928713375906E-2</c:v>
                </c:pt>
                <c:pt idx="6">
                  <c:v>5.7013889098788073E-2</c:v>
                </c:pt>
                <c:pt idx="7">
                  <c:v>7.8890729302644416E-2</c:v>
                </c:pt>
                <c:pt idx="8">
                  <c:v>9.8934061168842499E-2</c:v>
                </c:pt>
                <c:pt idx="9">
                  <c:v>0.10515089295261412</c:v>
                </c:pt>
                <c:pt idx="10">
                  <c:v>0.13955818886770902</c:v>
                </c:pt>
                <c:pt idx="11">
                  <c:v>0.1797591751135646</c:v>
                </c:pt>
                <c:pt idx="12">
                  <c:v>0.19510373949740509</c:v>
                </c:pt>
                <c:pt idx="13">
                  <c:v>0.22723349549601046</c:v>
                </c:pt>
                <c:pt idx="14">
                  <c:v>0.25119910628643116</c:v>
                </c:pt>
                <c:pt idx="15">
                  <c:v>0.26827305990177797</c:v>
                </c:pt>
                <c:pt idx="16">
                  <c:v>0.30789158761148983</c:v>
                </c:pt>
                <c:pt idx="17">
                  <c:v>0.32515850237010885</c:v>
                </c:pt>
                <c:pt idx="18">
                  <c:v>0.34755199343580745</c:v>
                </c:pt>
                <c:pt idx="19">
                  <c:v>0.37142308334596413</c:v>
                </c:pt>
                <c:pt idx="20">
                  <c:v>0.39452219621353934</c:v>
                </c:pt>
                <c:pt idx="21">
                  <c:v>0.42791476410299806</c:v>
                </c:pt>
                <c:pt idx="22">
                  <c:v>0.47044366593092257</c:v>
                </c:pt>
              </c:numCache>
            </c:numRef>
          </c:yVal>
          <c:smooth val="0"/>
        </c:ser>
        <c:ser>
          <c:idx val="1"/>
          <c:order val="1"/>
          <c:tx>
            <c:v>S3 d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461942257217845"/>
                  <c:y val="-0.23488662875473898"/>
                </c:manualLayout>
              </c:layout>
              <c:numFmt formatCode="General" sourceLinked="0"/>
            </c:trendlineLbl>
          </c:trendline>
          <c:xVal>
            <c:numRef>
              <c:f>'PCL-PNa'!$P$50:$P$72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</c:numCache>
            </c:numRef>
          </c:xVal>
          <c:yVal>
            <c:numRef>
              <c:f>'PCL-PNa'!$O$50:$O$72</c:f>
              <c:numCache>
                <c:formatCode>General</c:formatCode>
                <c:ptCount val="23"/>
                <c:pt idx="0">
                  <c:v>8.0621290016423541E-3</c:v>
                </c:pt>
                <c:pt idx="1">
                  <c:v>1.4279692909813169E-2</c:v>
                </c:pt>
                <c:pt idx="2">
                  <c:v>2.5809044599302517E-2</c:v>
                </c:pt>
                <c:pt idx="3">
                  <c:v>3.5568055427776621E-2</c:v>
                </c:pt>
                <c:pt idx="4">
                  <c:v>4.3887878612020738E-2</c:v>
                </c:pt>
                <c:pt idx="5">
                  <c:v>0.10128362042741772</c:v>
                </c:pt>
                <c:pt idx="6">
                  <c:v>0.10128362042741772</c:v>
                </c:pt>
                <c:pt idx="7">
                  <c:v>0.10141439161660752</c:v>
                </c:pt>
                <c:pt idx="8">
                  <c:v>0.12010641507143661</c:v>
                </c:pt>
                <c:pt idx="9">
                  <c:v>0.13189578597187154</c:v>
                </c:pt>
                <c:pt idx="10">
                  <c:v>0.14142162893442034</c:v>
                </c:pt>
                <c:pt idx="11">
                  <c:v>0.17900660141340655</c:v>
                </c:pt>
                <c:pt idx="12">
                  <c:v>0.17900660141340655</c:v>
                </c:pt>
                <c:pt idx="13">
                  <c:v>0.18907400475599209</c:v>
                </c:pt>
                <c:pt idx="14">
                  <c:v>0.21753213991571524</c:v>
                </c:pt>
                <c:pt idx="15">
                  <c:v>0.25242874919835512</c:v>
                </c:pt>
                <c:pt idx="16">
                  <c:v>0.27042386680564229</c:v>
                </c:pt>
                <c:pt idx="17">
                  <c:v>0.33880655647007452</c:v>
                </c:pt>
                <c:pt idx="18">
                  <c:v>0.33880655647007452</c:v>
                </c:pt>
                <c:pt idx="19">
                  <c:v>0.33880655647007452</c:v>
                </c:pt>
                <c:pt idx="20">
                  <c:v>0.36474121484240662</c:v>
                </c:pt>
                <c:pt idx="21">
                  <c:v>0.44458666670029856</c:v>
                </c:pt>
                <c:pt idx="22">
                  <c:v>0.55234370374548725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864"/>
        <c:axId val="93639744"/>
      </c:scatterChart>
      <c:valAx>
        <c:axId val="936368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3639744"/>
        <c:crosses val="autoZero"/>
        <c:crossBetween val="midCat"/>
      </c:valAx>
      <c:valAx>
        <c:axId val="936397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36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9002996500437448"/>
                  <c:y val="-0.16876202974628171"/>
                </c:manualLayout>
              </c:layout>
              <c:numFmt formatCode="General" sourceLinked="0"/>
            </c:trendlineLbl>
          </c:trendline>
          <c:xVal>
            <c:numRef>
              <c:f>'PCL-PNa'!$V$50:$V$73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'PCL-PNa'!$U$50:$U$73</c:f>
              <c:numCache>
                <c:formatCode>General</c:formatCode>
                <c:ptCount val="24"/>
                <c:pt idx="0">
                  <c:v>8.5256413751354735E-3</c:v>
                </c:pt>
                <c:pt idx="1">
                  <c:v>1.4349222299583899E-2</c:v>
                </c:pt>
                <c:pt idx="2">
                  <c:v>2.4293715928276314E-2</c:v>
                </c:pt>
                <c:pt idx="3">
                  <c:v>3.6422415773941674E-2</c:v>
                </c:pt>
                <c:pt idx="4">
                  <c:v>4.5520325599430117E-2</c:v>
                </c:pt>
                <c:pt idx="5">
                  <c:v>9.5678761703894055E-2</c:v>
                </c:pt>
                <c:pt idx="6">
                  <c:v>9.5678761703894055E-2</c:v>
                </c:pt>
                <c:pt idx="7">
                  <c:v>9.5678761703894055E-2</c:v>
                </c:pt>
                <c:pt idx="8">
                  <c:v>0.11589546999915977</c:v>
                </c:pt>
                <c:pt idx="9">
                  <c:v>0.12034386677199109</c:v>
                </c:pt>
                <c:pt idx="10">
                  <c:v>0.12034386677199109</c:v>
                </c:pt>
                <c:pt idx="11">
                  <c:v>0.14499261056866394</c:v>
                </c:pt>
                <c:pt idx="12">
                  <c:v>0.14499261056866394</c:v>
                </c:pt>
                <c:pt idx="13">
                  <c:v>0.15626971170063328</c:v>
                </c:pt>
                <c:pt idx="14">
                  <c:v>0.18019958616066012</c:v>
                </c:pt>
                <c:pt idx="15">
                  <c:v>0.19356362744466962</c:v>
                </c:pt>
                <c:pt idx="16">
                  <c:v>0.2078054676870123</c:v>
                </c:pt>
                <c:pt idx="17">
                  <c:v>0.22931658055305068</c:v>
                </c:pt>
                <c:pt idx="18">
                  <c:v>0.24037304064685044</c:v>
                </c:pt>
                <c:pt idx="19">
                  <c:v>0.28767352162566573</c:v>
                </c:pt>
                <c:pt idx="20">
                  <c:v>0.34120911570623064</c:v>
                </c:pt>
                <c:pt idx="21">
                  <c:v>0.38480843792144692</c:v>
                </c:pt>
                <c:pt idx="22">
                  <c:v>0.44282697171567675</c:v>
                </c:pt>
                <c:pt idx="23">
                  <c:v>0.53887852515096724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5328"/>
        <c:axId val="93594752"/>
      </c:scatterChart>
      <c:valAx>
        <c:axId val="935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94752"/>
        <c:crosses val="autoZero"/>
        <c:crossBetween val="midCat"/>
      </c:valAx>
      <c:valAx>
        <c:axId val="935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95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C2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9002996500437448"/>
                  <c:y val="-0.15890675123942841"/>
                </c:manualLayout>
              </c:layout>
              <c:numFmt formatCode="General" sourceLinked="0"/>
            </c:trendlineLbl>
          </c:trendline>
          <c:xVal>
            <c:numRef>
              <c:f>'PCL-PNa'!$AB$50:$AB$73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29</c:v>
                </c:pt>
                <c:pt idx="7">
                  <c:v>47.5</c:v>
                </c:pt>
                <c:pt idx="8">
                  <c:v>67</c:v>
                </c:pt>
                <c:pt idx="9">
                  <c:v>73.5</c:v>
                </c:pt>
                <c:pt idx="10">
                  <c:v>113</c:v>
                </c:pt>
                <c:pt idx="11">
                  <c:v>166</c:v>
                </c:pt>
                <c:pt idx="12">
                  <c:v>188</c:v>
                </c:pt>
                <c:pt idx="13">
                  <c:v>237</c:v>
                </c:pt>
                <c:pt idx="14">
                  <c:v>276</c:v>
                </c:pt>
                <c:pt idx="15">
                  <c:v>305</c:v>
                </c:pt>
                <c:pt idx="16">
                  <c:v>376</c:v>
                </c:pt>
                <c:pt idx="17">
                  <c:v>408.5</c:v>
                </c:pt>
                <c:pt idx="18">
                  <c:v>452</c:v>
                </c:pt>
                <c:pt idx="19">
                  <c:v>500</c:v>
                </c:pt>
                <c:pt idx="20">
                  <c:v>548</c:v>
                </c:pt>
                <c:pt idx="21">
                  <c:v>620</c:v>
                </c:pt>
                <c:pt idx="22">
                  <c:v>716</c:v>
                </c:pt>
                <c:pt idx="23">
                  <c:v>788</c:v>
                </c:pt>
              </c:numCache>
            </c:numRef>
          </c:xVal>
          <c:yVal>
            <c:numRef>
              <c:f>'PCL-PNa'!$AA$50:$AA$73</c:f>
              <c:numCache>
                <c:formatCode>General</c:formatCode>
                <c:ptCount val="24"/>
                <c:pt idx="0">
                  <c:v>1.0700875279159829E-2</c:v>
                </c:pt>
                <c:pt idx="1">
                  <c:v>2.0289323088542099E-2</c:v>
                </c:pt>
                <c:pt idx="2">
                  <c:v>2.9845571314767453E-2</c:v>
                </c:pt>
                <c:pt idx="3">
                  <c:v>5.3043703628974502E-2</c:v>
                </c:pt>
                <c:pt idx="4">
                  <c:v>5.734038032772186E-2</c:v>
                </c:pt>
                <c:pt idx="5">
                  <c:v>9.0787534854954124E-2</c:v>
                </c:pt>
                <c:pt idx="6">
                  <c:v>9.1537765477188601E-2</c:v>
                </c:pt>
                <c:pt idx="7">
                  <c:v>9.2082711290888672E-2</c:v>
                </c:pt>
                <c:pt idx="8">
                  <c:v>0.10402391850374454</c:v>
                </c:pt>
                <c:pt idx="9">
                  <c:v>0.11268402940482057</c:v>
                </c:pt>
                <c:pt idx="10">
                  <c:v>0.12390669533314</c:v>
                </c:pt>
                <c:pt idx="11">
                  <c:v>0.1242539974114778</c:v>
                </c:pt>
                <c:pt idx="12">
                  <c:v>0.14875549114959888</c:v>
                </c:pt>
                <c:pt idx="13">
                  <c:v>0.16148294351560877</c:v>
                </c:pt>
                <c:pt idx="14">
                  <c:v>0.17349450277542944</c:v>
                </c:pt>
                <c:pt idx="15">
                  <c:v>0.1874523311942046</c:v>
                </c:pt>
                <c:pt idx="16">
                  <c:v>0.21572671726681686</c:v>
                </c:pt>
                <c:pt idx="17">
                  <c:v>0.22981091621157976</c:v>
                </c:pt>
                <c:pt idx="18">
                  <c:v>0.25681752055573431</c:v>
                </c:pt>
                <c:pt idx="19">
                  <c:v>0.27930179256867438</c:v>
                </c:pt>
                <c:pt idx="20">
                  <c:v>0.32569948915345043</c:v>
                </c:pt>
                <c:pt idx="21">
                  <c:v>0.37196780563191989</c:v>
                </c:pt>
                <c:pt idx="22">
                  <c:v>0.42359544420624984</c:v>
                </c:pt>
                <c:pt idx="23">
                  <c:v>0.56020653001212006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6816"/>
        <c:axId val="114467392"/>
      </c:scatterChart>
      <c:valAx>
        <c:axId val="1144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67392"/>
        <c:crosses val="autoZero"/>
        <c:crossBetween val="midCat"/>
      </c:valAx>
      <c:valAx>
        <c:axId val="1144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6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29</xdr:row>
      <xdr:rowOff>161924</xdr:rowOff>
    </xdr:from>
    <xdr:to>
      <xdr:col>9</xdr:col>
      <xdr:colOff>438150</xdr:colOff>
      <xdr:row>45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</xdr:colOff>
      <xdr:row>29</xdr:row>
      <xdr:rowOff>166687</xdr:rowOff>
    </xdr:from>
    <xdr:to>
      <xdr:col>17</xdr:col>
      <xdr:colOff>247649</xdr:colOff>
      <xdr:row>45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361949</xdr:colOff>
      <xdr:row>89</xdr:row>
      <xdr:rowOff>4762</xdr:rowOff>
    </xdr:from>
    <xdr:to>
      <xdr:col>10</xdr:col>
      <xdr:colOff>371475</xdr:colOff>
      <xdr:row>103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89</xdr:row>
      <xdr:rowOff>71437</xdr:rowOff>
    </xdr:from>
    <xdr:to>
      <xdr:col>17</xdr:col>
      <xdr:colOff>76200</xdr:colOff>
      <xdr:row>103</xdr:row>
      <xdr:rowOff>128587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74</xdr:row>
      <xdr:rowOff>52386</xdr:rowOff>
    </xdr:from>
    <xdr:to>
      <xdr:col>6</xdr:col>
      <xdr:colOff>466725</xdr:colOff>
      <xdr:row>88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561975</xdr:colOff>
      <xdr:row>74</xdr:row>
      <xdr:rowOff>71437</xdr:rowOff>
    </xdr:from>
    <xdr:to>
      <xdr:col>12</xdr:col>
      <xdr:colOff>247650</xdr:colOff>
      <xdr:row>88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466725</xdr:colOff>
      <xdr:row>74</xdr:row>
      <xdr:rowOff>61912</xdr:rowOff>
    </xdr:from>
    <xdr:to>
      <xdr:col>18</xdr:col>
      <xdr:colOff>209550</xdr:colOff>
      <xdr:row>88</xdr:row>
      <xdr:rowOff>138112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323850</xdr:colOff>
      <xdr:row>74</xdr:row>
      <xdr:rowOff>119062</xdr:rowOff>
    </xdr:from>
    <xdr:to>
      <xdr:col>24</xdr:col>
      <xdr:colOff>180975</xdr:colOff>
      <xdr:row>89</xdr:row>
      <xdr:rowOff>4762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466725</xdr:colOff>
      <xdr:row>74</xdr:row>
      <xdr:rowOff>157162</xdr:rowOff>
    </xdr:from>
    <xdr:to>
      <xdr:col>30</xdr:col>
      <xdr:colOff>381000</xdr:colOff>
      <xdr:row>89</xdr:row>
      <xdr:rowOff>42862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542925</xdr:colOff>
      <xdr:row>74</xdr:row>
      <xdr:rowOff>52387</xdr:rowOff>
    </xdr:from>
    <xdr:to>
      <xdr:col>35</xdr:col>
      <xdr:colOff>1295400</xdr:colOff>
      <xdr:row>88</xdr:row>
      <xdr:rowOff>128587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31</xdr:row>
      <xdr:rowOff>85725</xdr:rowOff>
    </xdr:from>
    <xdr:to>
      <xdr:col>15</xdr:col>
      <xdr:colOff>571500</xdr:colOff>
      <xdr:row>47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38099</xdr:colOff>
      <xdr:row>31</xdr:row>
      <xdr:rowOff>71436</xdr:rowOff>
    </xdr:from>
    <xdr:to>
      <xdr:col>22</xdr:col>
      <xdr:colOff>590549</xdr:colOff>
      <xdr:row>47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75</xdr:row>
      <xdr:rowOff>42862</xdr:rowOff>
    </xdr:from>
    <xdr:to>
      <xdr:col>6</xdr:col>
      <xdr:colOff>409575</xdr:colOff>
      <xdr:row>89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75</xdr:row>
      <xdr:rowOff>90487</xdr:rowOff>
    </xdr:from>
    <xdr:to>
      <xdr:col>12</xdr:col>
      <xdr:colOff>57150</xdr:colOff>
      <xdr:row>89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142875</xdr:colOff>
      <xdr:row>75</xdr:row>
      <xdr:rowOff>42862</xdr:rowOff>
    </xdr:from>
    <xdr:to>
      <xdr:col>17</xdr:col>
      <xdr:colOff>552450</xdr:colOff>
      <xdr:row>89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</xdr:colOff>
      <xdr:row>76</xdr:row>
      <xdr:rowOff>52387</xdr:rowOff>
    </xdr:from>
    <xdr:to>
      <xdr:col>23</xdr:col>
      <xdr:colOff>123825</xdr:colOff>
      <xdr:row>90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523875</xdr:colOff>
      <xdr:row>76</xdr:row>
      <xdr:rowOff>90487</xdr:rowOff>
    </xdr:from>
    <xdr:to>
      <xdr:col>29</xdr:col>
      <xdr:colOff>9525</xdr:colOff>
      <xdr:row>90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657225</xdr:colOff>
      <xdr:row>76</xdr:row>
      <xdr:rowOff>33337</xdr:rowOff>
    </xdr:from>
    <xdr:to>
      <xdr:col>34</xdr:col>
      <xdr:colOff>942975</xdr:colOff>
      <xdr:row>90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31</xdr:row>
      <xdr:rowOff>28575</xdr:rowOff>
    </xdr:from>
    <xdr:to>
      <xdr:col>9</xdr:col>
      <xdr:colOff>304800</xdr:colOff>
      <xdr:row>46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133349</xdr:colOff>
      <xdr:row>31</xdr:row>
      <xdr:rowOff>52387</xdr:rowOff>
    </xdr:from>
    <xdr:to>
      <xdr:col>17</xdr:col>
      <xdr:colOff>0</xdr:colOff>
      <xdr:row>47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72</xdr:row>
      <xdr:rowOff>4762</xdr:rowOff>
    </xdr:from>
    <xdr:to>
      <xdr:col>6</xdr:col>
      <xdr:colOff>257175</xdr:colOff>
      <xdr:row>86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561975</xdr:colOff>
      <xdr:row>72</xdr:row>
      <xdr:rowOff>42862</xdr:rowOff>
    </xdr:from>
    <xdr:to>
      <xdr:col>12</xdr:col>
      <xdr:colOff>114300</xdr:colOff>
      <xdr:row>86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71</xdr:row>
      <xdr:rowOff>14287</xdr:rowOff>
    </xdr:from>
    <xdr:to>
      <xdr:col>17</xdr:col>
      <xdr:colOff>1066800</xdr:colOff>
      <xdr:row>85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990600</xdr:colOff>
      <xdr:row>93</xdr:row>
      <xdr:rowOff>33337</xdr:rowOff>
    </xdr:from>
    <xdr:to>
      <xdr:col>23</xdr:col>
      <xdr:colOff>495300</xdr:colOff>
      <xdr:row>107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1162050</xdr:colOff>
      <xdr:row>102</xdr:row>
      <xdr:rowOff>23812</xdr:rowOff>
    </xdr:from>
    <xdr:to>
      <xdr:col>29</xdr:col>
      <xdr:colOff>714375</xdr:colOff>
      <xdr:row>116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371475</xdr:colOff>
      <xdr:row>100</xdr:row>
      <xdr:rowOff>138112</xdr:rowOff>
    </xdr:from>
    <xdr:to>
      <xdr:col>36</xdr:col>
      <xdr:colOff>676275</xdr:colOff>
      <xdr:row>115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71</xdr:row>
      <xdr:rowOff>109537</xdr:rowOff>
    </xdr:from>
    <xdr:to>
      <xdr:col>6</xdr:col>
      <xdr:colOff>638175</xdr:colOff>
      <xdr:row>85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838200</xdr:colOff>
      <xdr:row>71</xdr:row>
      <xdr:rowOff>100012</xdr:rowOff>
    </xdr:from>
    <xdr:to>
      <xdr:col>13</xdr:col>
      <xdr:colOff>85725</xdr:colOff>
      <xdr:row>85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219081</xdr:colOff>
      <xdr:row>71</xdr:row>
      <xdr:rowOff>100012</xdr:rowOff>
    </xdr:from>
    <xdr:to>
      <xdr:col>18</xdr:col>
      <xdr:colOff>504831</xdr:colOff>
      <xdr:row>85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504825</xdr:colOff>
      <xdr:row>30</xdr:row>
      <xdr:rowOff>185737</xdr:rowOff>
    </xdr:from>
    <xdr:to>
      <xdr:col>9</xdr:col>
      <xdr:colOff>266700</xdr:colOff>
      <xdr:row>45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247650</xdr:colOff>
      <xdr:row>31</xdr:row>
      <xdr:rowOff>33337</xdr:rowOff>
    </xdr:from>
    <xdr:to>
      <xdr:col>16</xdr:col>
      <xdr:colOff>819150</xdr:colOff>
      <xdr:row>45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8"/>
  <sheetViews>
    <sheetView zoomScale="120" zoomScaleNormal="120" workbookViewId="0">
      <pane xSplit="1" topLeftCell="AB1" activePane="topRight" state="frozen"/>
      <selection pane="topRight" activeCell="AK1" sqref="AK1:AK1048576"/>
    </sheetView>
  </sheetViews>
  <sheetFormatPr defaultRowHeight="15"/>
  <cols>
    <col min="5" max="5" width="16.42578125" customWidth="1"/>
    <col min="6" max="6" width="18.140625" customWidth="1"/>
    <col min="7" max="7" width="12.7109375" bestFit="1" customWidth="1"/>
    <col min="11" max="11" width="15.5703125" customWidth="1"/>
    <col min="12" max="12" width="17.5703125" customWidth="1"/>
    <col min="13" max="13" width="12.7109375" bestFit="1" customWidth="1"/>
    <col min="17" max="17" width="15.42578125" customWidth="1"/>
    <col min="18" max="18" width="16.85546875" customWidth="1"/>
    <col min="19" max="19" width="14.28515625" style="3" customWidth="1"/>
    <col min="20" max="20" width="13.7109375" customWidth="1"/>
    <col min="23" max="23" width="9.85546875" customWidth="1"/>
    <col min="24" max="24" width="14.5703125" customWidth="1"/>
    <col min="25" max="25" width="12.7109375" bestFit="1" customWidth="1"/>
    <col min="26" max="26" width="12.42578125" customWidth="1"/>
    <col min="29" max="29" width="15.42578125" customWidth="1"/>
    <col min="30" max="30" width="11" customWidth="1"/>
    <col min="31" max="31" width="12.42578125" customWidth="1"/>
    <col min="32" max="32" width="11.140625" customWidth="1"/>
    <col min="35" max="35" width="15.42578125" customWidth="1"/>
    <col min="36" max="36" width="20.42578125" customWidth="1"/>
    <col min="37" max="37" width="11.5703125" style="3" bestFit="1" customWidth="1"/>
  </cols>
  <sheetData>
    <row r="1" spans="1:39">
      <c r="A1" t="s">
        <v>0</v>
      </c>
      <c r="B1" t="s">
        <v>1</v>
      </c>
      <c r="C1" t="s">
        <v>3</v>
      </c>
      <c r="D1" t="s">
        <v>4</v>
      </c>
      <c r="E1" t="s">
        <v>17</v>
      </c>
      <c r="F1" t="s">
        <v>15</v>
      </c>
      <c r="H1" t="s">
        <v>2</v>
      </c>
      <c r="I1" t="s">
        <v>3</v>
      </c>
      <c r="J1" t="s">
        <v>4</v>
      </c>
      <c r="K1" t="s">
        <v>17</v>
      </c>
      <c r="L1" t="s">
        <v>16</v>
      </c>
      <c r="N1" t="s">
        <v>5</v>
      </c>
      <c r="O1" t="s">
        <v>3</v>
      </c>
      <c r="P1" t="s">
        <v>4</v>
      </c>
      <c r="Q1" t="s">
        <v>17</v>
      </c>
      <c r="R1" t="s">
        <v>16</v>
      </c>
      <c r="S1" s="3" t="s">
        <v>59</v>
      </c>
      <c r="T1" t="s">
        <v>6</v>
      </c>
      <c r="U1" t="s">
        <v>3</v>
      </c>
      <c r="V1" t="s">
        <v>4</v>
      </c>
      <c r="W1" t="s">
        <v>17</v>
      </c>
      <c r="X1" t="s">
        <v>18</v>
      </c>
      <c r="Z1" t="s">
        <v>7</v>
      </c>
      <c r="AA1" t="s">
        <v>3</v>
      </c>
      <c r="AB1" t="s">
        <v>4</v>
      </c>
      <c r="AC1" t="s">
        <v>17</v>
      </c>
      <c r="AD1" t="s">
        <v>18</v>
      </c>
      <c r="AF1" t="s">
        <v>8</v>
      </c>
      <c r="AG1" t="s">
        <v>3</v>
      </c>
      <c r="AH1" t="s">
        <v>4</v>
      </c>
      <c r="AI1" t="s">
        <v>17</v>
      </c>
      <c r="AJ1" t="s">
        <v>18</v>
      </c>
      <c r="AK1" s="3" t="s">
        <v>60</v>
      </c>
    </row>
    <row r="2" spans="1:39">
      <c r="B2" t="s">
        <v>9</v>
      </c>
      <c r="H2" t="s">
        <v>10</v>
      </c>
      <c r="N2" t="s">
        <v>11</v>
      </c>
      <c r="T2" t="s">
        <v>12</v>
      </c>
      <c r="Z2" t="s">
        <v>13</v>
      </c>
      <c r="AF2" t="s">
        <v>14</v>
      </c>
    </row>
    <row r="3" spans="1:39">
      <c r="A3">
        <v>0.5</v>
      </c>
      <c r="B3">
        <f>AVERAGE(0.2949,0.2952)</f>
        <v>0.29505000000000003</v>
      </c>
      <c r="C3">
        <f>(B3+0.062)/30.465</f>
        <v>1.1720006564910554E-2</v>
      </c>
      <c r="D3">
        <f>C3*0.6/0.2</f>
        <v>3.5160019694731662E-2</v>
      </c>
      <c r="E3">
        <f>D3</f>
        <v>3.5160019694731662E-2</v>
      </c>
      <c r="F3">
        <f>E3/E29</f>
        <v>5.8615828882863201E-3</v>
      </c>
      <c r="H3">
        <f>AVERAGE(0.4187,0.4189)</f>
        <v>0.41880000000000001</v>
      </c>
      <c r="I3">
        <f>(H3+0.062)/30.465</f>
        <v>1.5782044969637289E-2</v>
      </c>
      <c r="J3">
        <f>I3*0.6/0.2</f>
        <v>4.734613490891186E-2</v>
      </c>
      <c r="K3">
        <f>J3</f>
        <v>4.734613490891186E-2</v>
      </c>
      <c r="L3">
        <f>K3/6.87256</f>
        <v>6.8891555561409225E-3</v>
      </c>
      <c r="N3">
        <f>AVERAGE(0.399,0.3989)</f>
        <v>0.39895000000000003</v>
      </c>
      <c r="O3">
        <f>(N3+0.062)/30.465</f>
        <v>1.5130477597242738E-2</v>
      </c>
      <c r="P3">
        <f>O3*0.6/0.2</f>
        <v>4.5391432791728206E-2</v>
      </c>
      <c r="Q3">
        <f>P3</f>
        <v>4.5391432791728206E-2</v>
      </c>
      <c r="R3">
        <f>Q3/5.630204228</f>
        <v>8.0621290016423541E-3</v>
      </c>
      <c r="S3" s="3">
        <f>AVERAGE(F3,L3,R3)</f>
        <v>6.9376224820231992E-3</v>
      </c>
      <c r="T3">
        <f>AVERAGE(0.4793,0.4788)</f>
        <v>0.47904999999999998</v>
      </c>
      <c r="U3">
        <f>(T3+0.062)/30.465</f>
        <v>1.7759724273756772E-2</v>
      </c>
      <c r="V3">
        <f>U3*0.6/0.2</f>
        <v>5.3279172821270315E-2</v>
      </c>
      <c r="W3">
        <f>V3</f>
        <v>5.3279172821270315E-2</v>
      </c>
      <c r="X3">
        <f>W3/6.24928618</f>
        <v>8.5256413751354735E-3</v>
      </c>
      <c r="Z3">
        <f>AVERAGE(0.4044,0.4042)</f>
        <v>0.40429999999999999</v>
      </c>
      <c r="AA3">
        <f>(Z3+0.062)/30.465</f>
        <v>1.5306088954537994E-2</v>
      </c>
      <c r="AB3">
        <f>AA3*0.6/0.2</f>
        <v>4.5918266863613985E-2</v>
      </c>
      <c r="AC3">
        <f>AB3</f>
        <v>4.5918266863613985E-2</v>
      </c>
      <c r="AD3">
        <f>AC3/4.291075792</f>
        <v>1.0700875279159829E-2</v>
      </c>
      <c r="AF3">
        <f>AVERAGE(0.4055,0.4049)</f>
        <v>0.4052</v>
      </c>
      <c r="AG3">
        <f>(AF3+0.062)/30.465</f>
        <v>1.5335631052026916E-2</v>
      </c>
      <c r="AH3">
        <f>AG3*0.6/0.2</f>
        <v>4.6006893156080746E-2</v>
      </c>
      <c r="AI3">
        <f>AH3</f>
        <v>4.6006893156080746E-2</v>
      </c>
      <c r="AJ3">
        <f>AI3/6.371775109</f>
        <v>7.2204201135562624E-3</v>
      </c>
      <c r="AK3" s="3">
        <f>AVERAGE(X3,AD3,AJ3)</f>
        <v>8.8156455892838565E-3</v>
      </c>
      <c r="AL3">
        <v>1</v>
      </c>
      <c r="AM3">
        <f>0.8^AL3</f>
        <v>0.8</v>
      </c>
    </row>
    <row r="4" spans="1:39">
      <c r="A4">
        <v>1</v>
      </c>
      <c r="B4">
        <f>AVERAGE(0.7021)</f>
        <v>0.70209999999999995</v>
      </c>
      <c r="C4">
        <f t="shared" ref="C4:C17" si="0">(B4+0.062)/30.465</f>
        <v>2.5081240768094534E-2</v>
      </c>
      <c r="D4">
        <f t="shared" ref="D4:D17" si="1">C4*0.6/0.2</f>
        <v>7.5243722304283597E-2</v>
      </c>
      <c r="E4">
        <f t="shared" ref="E4:E29" si="2">IF(D4-D3&gt;0,E3+(D4-D3*0.8)/AM3,D4/AM3)</f>
        <v>9.40546528803545E-2</v>
      </c>
      <c r="F4">
        <f>IF(E4/5.9984&gt;F3,E4/5.9984,F3)</f>
        <v>1.5679956801872917E-2</v>
      </c>
      <c r="H4">
        <v>0.48580000000000001</v>
      </c>
      <c r="I4">
        <f t="shared" ref="I4:I17" si="3">(H4+0.062)/30.465</f>
        <v>1.7981290004923683E-2</v>
      </c>
      <c r="J4">
        <f t="shared" ref="J4:J17" si="4">I4*0.6/0.2</f>
        <v>5.3943870014771043E-2</v>
      </c>
      <c r="K4">
        <f t="shared" ref="K4:K29" si="5">IF(J4-J3&gt;0,K3+(J4-J3*0.8)/AM3,J4/AM3)</f>
        <v>6.7429837518463792E-2</v>
      </c>
      <c r="L4">
        <f>IF(K4/6.87256353&gt;L3,K4/6.87256353,L3)</f>
        <v>9.8114535026297238E-3</v>
      </c>
      <c r="N4">
        <f>(0.5909+0.5914)/2</f>
        <v>0.59115000000000006</v>
      </c>
      <c r="O4">
        <f t="shared" ref="O4:O17" si="6">(N4+0.062)/30.465</f>
        <v>2.14393566387658E-2</v>
      </c>
      <c r="P4">
        <f t="shared" ref="P4:P17" si="7">O4*0.6/0.2</f>
        <v>6.4318069916297391E-2</v>
      </c>
      <c r="Q4">
        <f t="shared" ref="Q4:Q29" si="8">IF(P4-P3&gt;0,Q3+(P4-P3*0.8)/AM3,P4/AM3)</f>
        <v>8.0397587395371728E-2</v>
      </c>
      <c r="R4">
        <f>IF(Q4/5.630204228&gt;R3,Q4/5.630204228,R3)</f>
        <v>1.4279692909813169E-2</v>
      </c>
      <c r="S4" s="3">
        <f t="shared" ref="S4:S29" si="9">AVERAGE(F4,L4,R4)</f>
        <v>1.3257034404771937E-2</v>
      </c>
      <c r="T4">
        <v>0.66649999999999998</v>
      </c>
      <c r="U4">
        <f t="shared" ref="U4:U17" si="10">(T4+0.062)/30.465</f>
        <v>2.3912686689643851E-2</v>
      </c>
      <c r="V4">
        <f t="shared" ref="V4:V17" si="11">U4*0.6/0.2</f>
        <v>7.1738060068931547E-2</v>
      </c>
      <c r="W4">
        <f t="shared" ref="W4:W29" si="12">IF(V4-V3&gt;0,W3+(V4-V3*0.8)/AM3,V4/AM3)</f>
        <v>8.9672575086164441E-2</v>
      </c>
      <c r="X4">
        <f>IF(W4/6.249298618&gt;X3,W4/6.249298618,X3)</f>
        <v>1.4349222299583899E-2</v>
      </c>
      <c r="Z4">
        <f>0.6453</f>
        <v>0.64529999999999998</v>
      </c>
      <c r="AA4">
        <f t="shared" ref="AA4:AA17" si="13">(Z4+0.062)/30.465</f>
        <v>2.321680617101592E-2</v>
      </c>
      <c r="AB4">
        <f t="shared" ref="AB4:AB17" si="14">AA4*0.6/0.2</f>
        <v>6.9650418513047749E-2</v>
      </c>
      <c r="AC4">
        <f t="shared" ref="AC4:AC29" si="15">IF(AB4-AB3&gt;0,AC3+(AB4-AB3*0.8)/AM3,AB4/AM3)</f>
        <v>8.7063023141309676E-2</v>
      </c>
      <c r="AD4">
        <f>IF(AC4/4.29107592&gt;AD3,AC4/4.291075792,AD3)</f>
        <v>2.0289323088542099E-2</v>
      </c>
      <c r="AF4">
        <v>0.62709999999999999</v>
      </c>
      <c r="AG4">
        <f t="shared" ref="AG4:AG17" si="16">(AF4+0.062)/30.465</f>
        <v>2.2619399310684393E-2</v>
      </c>
      <c r="AH4">
        <f t="shared" ref="AH4:AH17" si="17">AG4*0.6/0.2</f>
        <v>6.7858197932053166E-2</v>
      </c>
      <c r="AI4">
        <f>IF(AH4-AH3&gt;0,AI3+(AH4-AH3*0.8)/AM3,AH4/AM3)</f>
        <v>8.4822747415066457E-2</v>
      </c>
      <c r="AJ4">
        <f>IF(AI4/6.371775109&gt;AJ3,AI4/6.371775109,AJ3)</f>
        <v>1.3312263217710885E-2</v>
      </c>
      <c r="AK4" s="3">
        <f t="shared" ref="AK4:AK29" si="18">AVERAGE(X4,AD4,AJ4)</f>
        <v>1.5983602868612293E-2</v>
      </c>
      <c r="AL4">
        <v>2</v>
      </c>
      <c r="AM4">
        <f t="shared" ref="AM4:AM29" si="19">0.8^AL4</f>
        <v>0.64000000000000012</v>
      </c>
    </row>
    <row r="5" spans="1:39">
      <c r="A5">
        <v>2</v>
      </c>
      <c r="B5">
        <v>1.1051</v>
      </c>
      <c r="C5">
        <f t="shared" si="0"/>
        <v>3.8309535532578369E-2</v>
      </c>
      <c r="D5">
        <f t="shared" si="1"/>
        <v>0.1149286065977351</v>
      </c>
      <c r="E5">
        <f t="shared" si="2"/>
        <v>0.17957594780896108</v>
      </c>
      <c r="F5">
        <f t="shared" ref="F5:F29" si="20">IF(E5/5.9984&gt;F4,E5/5.9984,F4)</f>
        <v>2.9937307916938029E-2</v>
      </c>
      <c r="H5">
        <f>(0.8961+0.8965)/2</f>
        <v>0.89629999999999999</v>
      </c>
      <c r="I5">
        <f t="shared" si="3"/>
        <v>3.1455768915148528E-2</v>
      </c>
      <c r="J5">
        <f t="shared" si="4"/>
        <v>9.4367306745445578E-2</v>
      </c>
      <c r="K5">
        <f t="shared" si="5"/>
        <v>0.14744891678975869</v>
      </c>
      <c r="L5">
        <f t="shared" ref="L5:L29" si="21">IF(K5/6.87256353&gt;L4,K5/6.87256353,L4)</f>
        <v>2.1454718628080648E-2</v>
      </c>
      <c r="N5">
        <f>(0.8823+0.8825)/2</f>
        <v>0.88239999999999996</v>
      </c>
      <c r="O5">
        <f t="shared" si="6"/>
        <v>3.0999507631708514E-2</v>
      </c>
      <c r="P5">
        <f t="shared" si="7"/>
        <v>9.2998522895125529E-2</v>
      </c>
      <c r="Q5">
        <f t="shared" si="8"/>
        <v>0.1453101920236336</v>
      </c>
      <c r="R5">
        <f t="shared" ref="R5:R29" si="22">IF(Q5/5.630204228&gt;R4,Q5/5.630204228,R4)</f>
        <v>2.5809044599302517E-2</v>
      </c>
      <c r="S5" s="3">
        <f t="shared" si="9"/>
        <v>2.5733690381440397E-2</v>
      </c>
      <c r="T5">
        <f>(0.9249+0.9245)/2</f>
        <v>0.92470000000000008</v>
      </c>
      <c r="U5">
        <f t="shared" si="10"/>
        <v>3.2387986213687846E-2</v>
      </c>
      <c r="V5">
        <f t="shared" si="11"/>
        <v>9.716395864106353E-2</v>
      </c>
      <c r="W5">
        <f t="shared" si="12"/>
        <v>0.15181868537666177</v>
      </c>
      <c r="X5">
        <f t="shared" ref="X5:X29" si="23">IF(W5/6.249298618&gt;X4,W5/6.249298618,X4)</f>
        <v>2.4293715928276314E-2</v>
      </c>
      <c r="Z5">
        <f>(0.7702+0.7705)/2</f>
        <v>0.77034999999999998</v>
      </c>
      <c r="AA5">
        <f t="shared" si="13"/>
        <v>2.7321516494337762E-2</v>
      </c>
      <c r="AB5">
        <f t="shared" si="14"/>
        <v>8.196454948301328E-2</v>
      </c>
      <c r="AC5">
        <f t="shared" si="15"/>
        <v>0.12806960856720823</v>
      </c>
      <c r="AD5">
        <f t="shared" ref="AD5:AD29" si="24">IF(AC5/4.29107592&gt;AD4,AC5/4.291075792,AD4)</f>
        <v>2.9845571314767453E-2</v>
      </c>
      <c r="AF5">
        <v>0.86950000000000005</v>
      </c>
      <c r="AG5">
        <f t="shared" si="16"/>
        <v>3.0576070901033973E-2</v>
      </c>
      <c r="AH5">
        <f t="shared" si="17"/>
        <v>9.1728212703101913E-2</v>
      </c>
      <c r="AI5">
        <f t="shared" ref="AI5:AI29" si="25">IF(AH5-AH4&gt;0,AI4+(AH5-AH4*0.8)/AM4,AH5/AM4)</f>
        <v>0.14332533234859673</v>
      </c>
      <c r="AJ5">
        <f t="shared" ref="AJ5:AJ29" si="26">IF(AI5/6.371775109&gt;AJ4,AI5/6.371775109,AJ4)</f>
        <v>2.2493783898014964E-2</v>
      </c>
      <c r="AK5" s="3">
        <f t="shared" si="18"/>
        <v>2.5544357047019576E-2</v>
      </c>
      <c r="AL5">
        <v>3</v>
      </c>
      <c r="AM5">
        <f t="shared" si="19"/>
        <v>0.51200000000000012</v>
      </c>
    </row>
    <row r="6" spans="1:39">
      <c r="A6">
        <v>3</v>
      </c>
      <c r="B6">
        <f>(1.2634+1.264)/2</f>
        <v>1.2637</v>
      </c>
      <c r="C6">
        <f t="shared" si="0"/>
        <v>4.3515509601181689E-2</v>
      </c>
      <c r="D6">
        <f t="shared" si="1"/>
        <v>0.13054652880354506</v>
      </c>
      <c r="E6">
        <f t="shared" si="2"/>
        <v>0.25497368906942391</v>
      </c>
      <c r="F6">
        <f t="shared" si="20"/>
        <v>4.2506950031579074E-2</v>
      </c>
      <c r="H6">
        <f>(1.0983+1.0918)/2</f>
        <v>1.0950500000000001</v>
      </c>
      <c r="I6">
        <f t="shared" si="3"/>
        <v>3.7979648777285414E-2</v>
      </c>
      <c r="J6">
        <f t="shared" si="4"/>
        <v>0.11393894633185624</v>
      </c>
      <c r="K6">
        <f t="shared" si="5"/>
        <v>0.22253700455440667</v>
      </c>
      <c r="L6">
        <f t="shared" si="21"/>
        <v>3.2380494350178333E-2</v>
      </c>
      <c r="N6">
        <f>(0.9796+0.9788)/2</f>
        <v>0.97920000000000007</v>
      </c>
      <c r="O6">
        <f t="shared" si="6"/>
        <v>3.4176924339405883E-2</v>
      </c>
      <c r="P6">
        <f t="shared" si="7"/>
        <v>0.10253077301821764</v>
      </c>
      <c r="Q6">
        <f t="shared" si="8"/>
        <v>0.20025541605120628</v>
      </c>
      <c r="R6">
        <f t="shared" si="22"/>
        <v>3.5568055427776621E-2</v>
      </c>
      <c r="S6" s="3">
        <f t="shared" si="9"/>
        <v>3.6818499936511338E-2</v>
      </c>
      <c r="T6">
        <f>(1.122+1.1209)/2</f>
        <v>1.1214500000000001</v>
      </c>
      <c r="U6">
        <f t="shared" si="10"/>
        <v>3.8846216970293786E-2</v>
      </c>
      <c r="V6">
        <f t="shared" si="11"/>
        <v>0.11653865091088134</v>
      </c>
      <c r="W6">
        <f t="shared" si="12"/>
        <v>0.2276145525603151</v>
      </c>
      <c r="X6">
        <f t="shared" si="23"/>
        <v>3.6422415773941674E-2</v>
      </c>
      <c r="Z6">
        <f>(1.122+1.1209)/2</f>
        <v>1.1214500000000001</v>
      </c>
      <c r="AA6">
        <f t="shared" si="13"/>
        <v>3.8846216970293786E-2</v>
      </c>
      <c r="AB6">
        <f t="shared" si="14"/>
        <v>0.11653865091088134</v>
      </c>
      <c r="AC6">
        <f t="shared" si="15"/>
        <v>0.22761455256031504</v>
      </c>
      <c r="AD6">
        <f t="shared" si="24"/>
        <v>5.3043703628974502E-2</v>
      </c>
      <c r="AF6">
        <f>(1.0659+1.0661)/2</f>
        <v>1.0660000000000001</v>
      </c>
      <c r="AG6">
        <f t="shared" si="16"/>
        <v>3.7026095519448549E-2</v>
      </c>
      <c r="AH6">
        <f t="shared" si="17"/>
        <v>0.11107828655834563</v>
      </c>
      <c r="AI6">
        <f t="shared" si="25"/>
        <v>0.21694977843426877</v>
      </c>
      <c r="AJ6">
        <f t="shared" si="26"/>
        <v>3.4048561777993661E-2</v>
      </c>
      <c r="AK6" s="3">
        <f t="shared" si="18"/>
        <v>4.1171560393636612E-2</v>
      </c>
      <c r="AL6">
        <v>4</v>
      </c>
      <c r="AM6">
        <f t="shared" si="19"/>
        <v>0.40960000000000019</v>
      </c>
    </row>
    <row r="7" spans="1:39">
      <c r="A7">
        <v>4</v>
      </c>
      <c r="B7">
        <f>(1.1459+1.1457)/2</f>
        <v>1.1457999999999999</v>
      </c>
      <c r="C7">
        <f t="shared" si="0"/>
        <v>3.9645494830132938E-2</v>
      </c>
      <c r="D7">
        <f t="shared" si="1"/>
        <v>0.11893648449039881</v>
      </c>
      <c r="E7">
        <f t="shared" si="2"/>
        <v>0.29037227658788761</v>
      </c>
      <c r="F7">
        <f t="shared" si="20"/>
        <v>4.8408288308196788E-2</v>
      </c>
      <c r="H7">
        <f>(1.09+1.0902)/2</f>
        <v>1.0901000000000001</v>
      </c>
      <c r="I7">
        <f t="shared" si="3"/>
        <v>3.7817167241096343E-2</v>
      </c>
      <c r="J7">
        <f t="shared" si="4"/>
        <v>0.11345150172328902</v>
      </c>
      <c r="K7">
        <f t="shared" si="5"/>
        <v>0.27698120537912346</v>
      </c>
      <c r="L7">
        <f t="shared" si="21"/>
        <v>4.0302458343244078E-2</v>
      </c>
      <c r="N7">
        <f>(0.966+0.9656)/2</f>
        <v>0.96579999999999999</v>
      </c>
      <c r="O7">
        <f t="shared" si="6"/>
        <v>3.3737075332348598E-2</v>
      </c>
      <c r="P7">
        <f t="shared" si="7"/>
        <v>0.10121122599704578</v>
      </c>
      <c r="Q7">
        <f t="shared" si="8"/>
        <v>0.24709771971934993</v>
      </c>
      <c r="R7">
        <f t="shared" si="22"/>
        <v>4.3887878612020738E-2</v>
      </c>
      <c r="S7" s="3">
        <f t="shared" si="9"/>
        <v>4.4199541754487204E-2</v>
      </c>
      <c r="T7">
        <f>(1.1218+1.1207)/2</f>
        <v>1.1212499999999999</v>
      </c>
      <c r="U7">
        <f t="shared" si="10"/>
        <v>3.883965205974068E-2</v>
      </c>
      <c r="V7">
        <f t="shared" si="11"/>
        <v>0.11651895617922203</v>
      </c>
      <c r="W7">
        <f t="shared" si="12"/>
        <v>0.28447010785942867</v>
      </c>
      <c r="X7">
        <f t="shared" si="23"/>
        <v>4.5520325599430117E-2</v>
      </c>
      <c r="Z7">
        <f>(0.9616+0.9613)/2</f>
        <v>0.96145000000000003</v>
      </c>
      <c r="AA7">
        <f t="shared" si="13"/>
        <v>3.3594288527818809E-2</v>
      </c>
      <c r="AB7">
        <f t="shared" si="14"/>
        <v>0.10078286558345642</v>
      </c>
      <c r="AC7">
        <f t="shared" si="15"/>
        <v>0.24605191792836029</v>
      </c>
      <c r="AD7">
        <f t="shared" si="24"/>
        <v>5.734038032772186E-2</v>
      </c>
      <c r="AF7">
        <f>(1.0454+1.0448)/2</f>
        <v>1.0451000000000001</v>
      </c>
      <c r="AG7">
        <f t="shared" si="16"/>
        <v>3.6340062366650258E-2</v>
      </c>
      <c r="AH7">
        <f t="shared" si="17"/>
        <v>0.10902018709995077</v>
      </c>
      <c r="AI7">
        <f t="shared" si="25"/>
        <v>0.26616256616198908</v>
      </c>
      <c r="AJ7">
        <f t="shared" si="26"/>
        <v>4.1772121835568235E-2</v>
      </c>
      <c r="AK7" s="3">
        <f t="shared" si="18"/>
        <v>4.8210942587573406E-2</v>
      </c>
      <c r="AL7">
        <v>5</v>
      </c>
      <c r="AM7">
        <f t="shared" si="19"/>
        <v>0.32768000000000019</v>
      </c>
    </row>
    <row r="8" spans="1:39">
      <c r="A8">
        <v>26</v>
      </c>
      <c r="B8">
        <f>(1.3227+1.3231)/2</f>
        <v>1.3229</v>
      </c>
      <c r="C8">
        <f t="shared" si="0"/>
        <v>4.5458723124897425E-2</v>
      </c>
      <c r="D8">
        <f t="shared" si="1"/>
        <v>0.13637616937469227</v>
      </c>
      <c r="E8">
        <f t="shared" si="2"/>
        <v>0.41618704032804021</v>
      </c>
      <c r="F8">
        <f t="shared" si="20"/>
        <v>6.9383008857035244E-2</v>
      </c>
      <c r="H8">
        <f>(1.6266+1.6316)/2</f>
        <v>1.6291</v>
      </c>
      <c r="I8">
        <f t="shared" si="3"/>
        <v>5.5509601181683903E-2</v>
      </c>
      <c r="J8">
        <f t="shared" si="4"/>
        <v>0.1665288035450517</v>
      </c>
      <c r="K8">
        <f t="shared" si="5"/>
        <v>0.5082055772248889</v>
      </c>
      <c r="L8">
        <f t="shared" si="21"/>
        <v>7.3947017733117834E-2</v>
      </c>
      <c r="N8">
        <f>(1.8361+1.835)/2</f>
        <v>1.83555</v>
      </c>
      <c r="O8">
        <f t="shared" si="6"/>
        <v>6.2286230100114887E-2</v>
      </c>
      <c r="P8">
        <f t="shared" si="7"/>
        <v>0.18685869030034463</v>
      </c>
      <c r="Q8">
        <f t="shared" si="8"/>
        <v>0.5702474679575944</v>
      </c>
      <c r="R8">
        <f t="shared" si="22"/>
        <v>0.10128362042741772</v>
      </c>
      <c r="S8" s="3">
        <f t="shared" si="9"/>
        <v>8.1537882339190279E-2</v>
      </c>
      <c r="T8">
        <f>(1.9319+1.9234)/2</f>
        <v>1.9276499999999999</v>
      </c>
      <c r="U8">
        <f t="shared" si="10"/>
        <v>6.5309371409814534E-2</v>
      </c>
      <c r="V8">
        <f t="shared" si="11"/>
        <v>0.19592811422944356</v>
      </c>
      <c r="W8">
        <f t="shared" si="12"/>
        <v>0.59792515328809648</v>
      </c>
      <c r="X8">
        <f t="shared" si="23"/>
        <v>9.5678761703894055E-2</v>
      </c>
      <c r="Z8">
        <f>(1.2341+1.2346)/2</f>
        <v>1.2343500000000001</v>
      </c>
      <c r="AA8">
        <f t="shared" si="13"/>
        <v>4.2552108977515185E-2</v>
      </c>
      <c r="AB8">
        <f t="shared" si="14"/>
        <v>0.12765632693254556</v>
      </c>
      <c r="AC8">
        <f t="shared" si="15"/>
        <v>0.38957619303144986</v>
      </c>
      <c r="AD8">
        <f t="shared" si="24"/>
        <v>9.0787534854954124E-2</v>
      </c>
      <c r="AF8">
        <f>(1.6604+1.6642)/2</f>
        <v>1.6623000000000001</v>
      </c>
      <c r="AG8">
        <f t="shared" si="16"/>
        <v>5.6599376333497459E-2</v>
      </c>
      <c r="AH8">
        <f t="shared" si="17"/>
        <v>0.16979812900049235</v>
      </c>
      <c r="AI8">
        <f t="shared" si="25"/>
        <v>0.51818276672513508</v>
      </c>
      <c r="AJ8">
        <f t="shared" si="26"/>
        <v>8.1324710596457295E-2</v>
      </c>
      <c r="AK8" s="3">
        <f t="shared" si="18"/>
        <v>8.9263669051768482E-2</v>
      </c>
      <c r="AL8">
        <v>6</v>
      </c>
      <c r="AM8">
        <f t="shared" si="19"/>
        <v>0.26214400000000015</v>
      </c>
    </row>
    <row r="9" spans="1:39">
      <c r="A9">
        <v>29</v>
      </c>
      <c r="B9">
        <f>(1.10197+1.018)/2</f>
        <v>1.059985</v>
      </c>
      <c r="C9">
        <f t="shared" si="0"/>
        <v>3.6828655834564253E-2</v>
      </c>
      <c r="D9">
        <f t="shared" si="1"/>
        <v>0.11048596750369276</v>
      </c>
      <c r="E9">
        <f t="shared" si="2"/>
        <v>0.42147051812626912</v>
      </c>
      <c r="F9">
        <f t="shared" si="20"/>
        <v>7.0263823373944573E-2</v>
      </c>
      <c r="H9">
        <f>(1.154+1.1544)/2</f>
        <v>1.1541999999999999</v>
      </c>
      <c r="I9">
        <f t="shared" si="3"/>
        <v>3.9921221073362871E-2</v>
      </c>
      <c r="J9">
        <f t="shared" si="4"/>
        <v>0.11976366322008861</v>
      </c>
      <c r="K9">
        <f t="shared" si="5"/>
        <v>0.45686211860690512</v>
      </c>
      <c r="L9">
        <f t="shared" si="21"/>
        <v>7.3947017733117834E-2</v>
      </c>
      <c r="N9">
        <f>(1.3981+1.3994)/2</f>
        <v>1.3987499999999999</v>
      </c>
      <c r="O9">
        <f t="shared" si="6"/>
        <v>4.7948465452158216E-2</v>
      </c>
      <c r="P9">
        <f t="shared" si="7"/>
        <v>0.14384539635647461</v>
      </c>
      <c r="Q9">
        <f t="shared" si="8"/>
        <v>0.54872664015378769</v>
      </c>
      <c r="R9">
        <f t="shared" si="22"/>
        <v>0.10128362042741772</v>
      </c>
      <c r="S9" s="3">
        <f t="shared" si="9"/>
        <v>8.1831487178160037E-2</v>
      </c>
      <c r="T9">
        <f>(1.3749+1.3742)/2</f>
        <v>1.3745500000000002</v>
      </c>
      <c r="U9">
        <f t="shared" si="10"/>
        <v>4.7154111275233883E-2</v>
      </c>
      <c r="V9">
        <f t="shared" si="11"/>
        <v>0.14146233382570164</v>
      </c>
      <c r="W9">
        <f t="shared" si="12"/>
        <v>0.53963597803383467</v>
      </c>
      <c r="X9">
        <f t="shared" si="23"/>
        <v>9.5678761703894055E-2</v>
      </c>
      <c r="Z9">
        <f>(0.9837+0.9836)/2</f>
        <v>0.98365000000000002</v>
      </c>
      <c r="AA9">
        <f t="shared" si="13"/>
        <v>3.4322993599212211E-2</v>
      </c>
      <c r="AB9">
        <f t="shared" si="14"/>
        <v>0.10296898079763663</v>
      </c>
      <c r="AC9">
        <f t="shared" si="15"/>
        <v>0.39279548949293736</v>
      </c>
      <c r="AD9">
        <f t="shared" si="24"/>
        <v>9.1537765477188601E-2</v>
      </c>
      <c r="AF9">
        <f>(1.2501+1.2513)/2</f>
        <v>1.2507000000000001</v>
      </c>
      <c r="AG9">
        <f t="shared" si="16"/>
        <v>4.3088790415230602E-2</v>
      </c>
      <c r="AH9">
        <f t="shared" si="17"/>
        <v>0.12926637124569179</v>
      </c>
      <c r="AI9">
        <f t="shared" si="25"/>
        <v>0.4931120729282063</v>
      </c>
      <c r="AJ9">
        <f t="shared" si="26"/>
        <v>8.1324710596457295E-2</v>
      </c>
      <c r="AK9" s="3">
        <f t="shared" si="18"/>
        <v>8.9513745925846655E-2</v>
      </c>
      <c r="AL9">
        <v>7</v>
      </c>
      <c r="AM9">
        <f t="shared" si="19"/>
        <v>0.20971520000000016</v>
      </c>
    </row>
    <row r="10" spans="1:39">
      <c r="A10">
        <v>47.5</v>
      </c>
      <c r="B10">
        <f>AVERAGE(0.9877,0.987)</f>
        <v>0.98734999999999995</v>
      </c>
      <c r="C10">
        <f t="shared" si="0"/>
        <v>3.4444444444444444E-2</v>
      </c>
      <c r="D10">
        <f t="shared" si="1"/>
        <v>0.10333333333333333</v>
      </c>
      <c r="E10">
        <f t="shared" si="2"/>
        <v>0.4927317301432288</v>
      </c>
      <c r="F10">
        <f t="shared" si="20"/>
        <v>8.2143860053218984E-2</v>
      </c>
      <c r="H10">
        <f>AVERAGE(1.151,1.1534)</f>
        <v>1.1522000000000001</v>
      </c>
      <c r="I10">
        <f t="shared" si="3"/>
        <v>3.9855571967831946E-2</v>
      </c>
      <c r="J10">
        <f t="shared" si="4"/>
        <v>0.11956671590349584</v>
      </c>
      <c r="K10">
        <f t="shared" si="5"/>
        <v>0.57013853027103301</v>
      </c>
      <c r="L10">
        <f t="shared" si="21"/>
        <v>8.2958640947045997E-2</v>
      </c>
      <c r="N10">
        <v>1.1539999999999999</v>
      </c>
      <c r="O10">
        <f t="shared" si="6"/>
        <v>3.9914656162809779E-2</v>
      </c>
      <c r="P10">
        <f t="shared" si="7"/>
        <v>0.11974396848842933</v>
      </c>
      <c r="Q10">
        <f t="shared" si="8"/>
        <v>0.57098373645987144</v>
      </c>
      <c r="R10">
        <f t="shared" si="22"/>
        <v>0.10141439161660752</v>
      </c>
      <c r="S10" s="3">
        <f t="shared" si="9"/>
        <v>8.8838964205624163E-2</v>
      </c>
      <c r="T10">
        <f>(1.2065+1.2111)/2</f>
        <v>1.2088000000000001</v>
      </c>
      <c r="U10">
        <f t="shared" si="10"/>
        <v>4.1713441654357468E-2</v>
      </c>
      <c r="V10">
        <f t="shared" si="11"/>
        <v>0.1251403249630724</v>
      </c>
      <c r="W10">
        <f t="shared" si="12"/>
        <v>0.59671556932006975</v>
      </c>
      <c r="X10">
        <f t="shared" si="23"/>
        <v>9.5678761703894055E-2</v>
      </c>
      <c r="Z10">
        <f>(0.776+0.7797+0.7828)/3</f>
        <v>0.77949999999999997</v>
      </c>
      <c r="AA10">
        <f t="shared" si="13"/>
        <v>2.76218611521418E-2</v>
      </c>
      <c r="AB10">
        <f t="shared" si="14"/>
        <v>8.286558345642539E-2</v>
      </c>
      <c r="AC10">
        <f t="shared" si="15"/>
        <v>0.39513389328205745</v>
      </c>
      <c r="AD10">
        <f t="shared" si="24"/>
        <v>9.2082711290888672E-2</v>
      </c>
      <c r="AF10">
        <f>(1.0724+1.073+1.0761)/3</f>
        <v>1.0738333333333332</v>
      </c>
      <c r="AG10">
        <f t="shared" si="16"/>
        <v>3.7283221182778048E-2</v>
      </c>
      <c r="AH10">
        <f t="shared" si="17"/>
        <v>0.11184966354833413</v>
      </c>
      <c r="AI10">
        <f t="shared" si="25"/>
        <v>0.5333407571236326</v>
      </c>
      <c r="AJ10">
        <f t="shared" si="26"/>
        <v>8.3703637997251334E-2</v>
      </c>
      <c r="AK10" s="3">
        <f t="shared" si="18"/>
        <v>9.0488370330678025E-2</v>
      </c>
      <c r="AL10">
        <v>8</v>
      </c>
      <c r="AM10">
        <f t="shared" si="19"/>
        <v>0.16777216000000014</v>
      </c>
    </row>
    <row r="11" spans="1:39">
      <c r="A11">
        <v>67</v>
      </c>
      <c r="B11">
        <f>(0.7851+0.7853+0.7862)/3</f>
        <v>0.78553333333333342</v>
      </c>
      <c r="C11">
        <f t="shared" si="0"/>
        <v>2.7819902620493466E-2</v>
      </c>
      <c r="D11">
        <f t="shared" si="1"/>
        <v>8.3459707861480395E-2</v>
      </c>
      <c r="E11">
        <f t="shared" si="2"/>
        <v>0.49745862401414109</v>
      </c>
      <c r="F11">
        <f t="shared" si="20"/>
        <v>8.2931885838580466E-2</v>
      </c>
      <c r="H11">
        <f>(1.0405+1.0399)/2</f>
        <v>1.0402</v>
      </c>
      <c r="I11">
        <f>(H11+0.062)/30.465</f>
        <v>3.617922205809946E-2</v>
      </c>
      <c r="J11">
        <f>I11*0.6/0.2</f>
        <v>0.10853766617429837</v>
      </c>
      <c r="K11">
        <f t="shared" si="5"/>
        <v>0.64693490370689799</v>
      </c>
      <c r="L11">
        <f t="shared" si="21"/>
        <v>9.4132982675665125E-2</v>
      </c>
      <c r="N11">
        <f>(1.0885+1.0917)/2</f>
        <v>1.0901000000000001</v>
      </c>
      <c r="O11">
        <f>(N11+0.062)/30.465</f>
        <v>3.7817167241096343E-2</v>
      </c>
      <c r="P11">
        <f>O11*0.6/0.2</f>
        <v>0.11345150172328902</v>
      </c>
      <c r="Q11">
        <f t="shared" si="8"/>
        <v>0.67622364594512541</v>
      </c>
      <c r="R11">
        <f t="shared" si="22"/>
        <v>0.12010641507143661</v>
      </c>
      <c r="S11" s="3">
        <f t="shared" si="9"/>
        <v>9.9057094528560721E-2</v>
      </c>
      <c r="T11">
        <f>(1.1716+1.1723)/2</f>
        <v>1.1719499999999998</v>
      </c>
      <c r="U11">
        <f>(T11+0.062)/30.465</f>
        <v>4.0503856884949938E-2</v>
      </c>
      <c r="V11">
        <f>U11*0.6/0.2</f>
        <v>0.12151157065484981</v>
      </c>
      <c r="W11">
        <f t="shared" si="12"/>
        <v>0.72426540049820964</v>
      </c>
      <c r="X11">
        <f t="shared" si="23"/>
        <v>0.11589546999915977</v>
      </c>
      <c r="Z11">
        <f>(0.6978+0.6992)/2</f>
        <v>0.69850000000000001</v>
      </c>
      <c r="AA11">
        <f>(Z11+0.062)/30.465</f>
        <v>2.4963072378138846E-2</v>
      </c>
      <c r="AB11">
        <f>AA11*0.6/0.2</f>
        <v>7.4889217134416527E-2</v>
      </c>
      <c r="AC11">
        <f t="shared" si="15"/>
        <v>0.44637451848039905</v>
      </c>
      <c r="AD11">
        <f t="shared" si="24"/>
        <v>0.10402391850374454</v>
      </c>
      <c r="AF11">
        <f>(0.922+0.9234)/2</f>
        <v>0.92270000000000008</v>
      </c>
      <c r="AG11">
        <f>(AF11+0.062)/30.465</f>
        <v>3.2322337108156907E-2</v>
      </c>
      <c r="AH11">
        <f>AG11*0.6/0.2</f>
        <v>9.6967011324470706E-2</v>
      </c>
      <c r="AI11">
        <f t="shared" si="25"/>
        <v>0.57796842649263513</v>
      </c>
      <c r="AJ11">
        <f t="shared" si="26"/>
        <v>9.0707599782714671E-2</v>
      </c>
      <c r="AK11" s="3">
        <f t="shared" si="18"/>
        <v>0.10354232942853965</v>
      </c>
      <c r="AL11">
        <v>9</v>
      </c>
      <c r="AM11">
        <f t="shared" si="19"/>
        <v>0.13421772800000012</v>
      </c>
    </row>
    <row r="12" spans="1:39">
      <c r="A12">
        <v>73.5</v>
      </c>
      <c r="B12">
        <f>(0.6915+0.6875)/2</f>
        <v>0.6895</v>
      </c>
      <c r="C12">
        <f t="shared" si="0"/>
        <v>2.4667651403249634E-2</v>
      </c>
      <c r="D12">
        <f t="shared" si="1"/>
        <v>7.4002954209748895E-2</v>
      </c>
      <c r="E12">
        <f t="shared" si="2"/>
        <v>0.55136497475019719</v>
      </c>
      <c r="F12">
        <f t="shared" si="20"/>
        <v>9.1918674104794137E-2</v>
      </c>
      <c r="H12">
        <f>(0.8679+0.8685)/2</f>
        <v>0.86820000000000008</v>
      </c>
      <c r="I12">
        <f t="shared" si="3"/>
        <v>3.053339898243887E-2</v>
      </c>
      <c r="J12">
        <f t="shared" si="4"/>
        <v>9.1600196947316609E-2</v>
      </c>
      <c r="K12">
        <f t="shared" si="5"/>
        <v>0.68247465005007779</v>
      </c>
      <c r="L12">
        <f t="shared" si="21"/>
        <v>9.9304232994129604E-2</v>
      </c>
      <c r="N12">
        <f>(0.9514+0.9489)/2</f>
        <v>0.95015000000000005</v>
      </c>
      <c r="O12">
        <f t="shared" si="6"/>
        <v>3.3223371081569017E-2</v>
      </c>
      <c r="P12">
        <f t="shared" si="7"/>
        <v>9.9670113244707051E-2</v>
      </c>
      <c r="Q12">
        <f t="shared" si="8"/>
        <v>0.74260021183421432</v>
      </c>
      <c r="R12">
        <f t="shared" si="22"/>
        <v>0.13189578597187154</v>
      </c>
      <c r="S12" s="3">
        <f t="shared" si="9"/>
        <v>0.10770623102359844</v>
      </c>
      <c r="T12">
        <f>(0.9623+0.9638)/2</f>
        <v>0.96304999999999996</v>
      </c>
      <c r="U12">
        <f t="shared" si="10"/>
        <v>3.3646807812243558E-2</v>
      </c>
      <c r="V12">
        <f t="shared" si="11"/>
        <v>0.10094042343673067</v>
      </c>
      <c r="W12">
        <f t="shared" si="12"/>
        <v>0.75206476030298008</v>
      </c>
      <c r="X12">
        <f t="shared" si="23"/>
        <v>0.12034386677199109</v>
      </c>
      <c r="Z12">
        <f>(0.5979+0.5962)/2</f>
        <v>0.59704999999999997</v>
      </c>
      <c r="AA12">
        <f t="shared" si="13"/>
        <v>2.1633021500082058E-2</v>
      </c>
      <c r="AB12">
        <f t="shared" si="14"/>
        <v>6.489906450024617E-2</v>
      </c>
      <c r="AC12">
        <f t="shared" si="15"/>
        <v>0.48353571072404172</v>
      </c>
      <c r="AD12">
        <f t="shared" si="24"/>
        <v>0.11268402940482057</v>
      </c>
      <c r="AF12">
        <f>(0.839+0.8385)/2</f>
        <v>0.83875</v>
      </c>
      <c r="AG12">
        <f t="shared" si="16"/>
        <v>2.9566715903495813E-2</v>
      </c>
      <c r="AH12">
        <f t="shared" si="17"/>
        <v>8.8700147710487426E-2</v>
      </c>
      <c r="AI12">
        <f t="shared" si="25"/>
        <v>0.66086759947603457</v>
      </c>
      <c r="AJ12">
        <f t="shared" si="26"/>
        <v>0.10371797311907209</v>
      </c>
      <c r="AK12" s="3">
        <f t="shared" si="18"/>
        <v>0.11224862309862792</v>
      </c>
      <c r="AL12">
        <v>10</v>
      </c>
      <c r="AM12">
        <f t="shared" si="19"/>
        <v>0.10737418240000011</v>
      </c>
    </row>
    <row r="13" spans="1:39">
      <c r="A13">
        <v>113</v>
      </c>
      <c r="B13">
        <f>(0.6169+0.6166)/2</f>
        <v>0.61675000000000002</v>
      </c>
      <c r="C13">
        <f t="shared" si="0"/>
        <v>2.227966518956179E-2</v>
      </c>
      <c r="D13">
        <f t="shared" si="1"/>
        <v>6.6838995568685361E-2</v>
      </c>
      <c r="E13">
        <f t="shared" si="2"/>
        <v>0.62248665437740547</v>
      </c>
      <c r="F13">
        <f t="shared" si="20"/>
        <v>0.10377544918268296</v>
      </c>
      <c r="H13">
        <f>(0.776+0.7787)/2</f>
        <v>0.77734999999999999</v>
      </c>
      <c r="I13">
        <f t="shared" si="3"/>
        <v>2.7551288363696046E-2</v>
      </c>
      <c r="J13">
        <f t="shared" si="4"/>
        <v>8.265386509108813E-2</v>
      </c>
      <c r="K13">
        <f t="shared" si="5"/>
        <v>0.7697741043855254</v>
      </c>
      <c r="L13">
        <f t="shared" si="21"/>
        <v>0.11200683719041959</v>
      </c>
      <c r="N13">
        <f>(0.8085+0.8039)/2</f>
        <v>0.80620000000000003</v>
      </c>
      <c r="O13">
        <f t="shared" si="6"/>
        <v>2.8498276710979816E-2</v>
      </c>
      <c r="P13">
        <f t="shared" si="7"/>
        <v>8.5494830132939431E-2</v>
      </c>
      <c r="Q13">
        <f t="shared" si="8"/>
        <v>0.79623265315722058</v>
      </c>
      <c r="R13">
        <f t="shared" si="22"/>
        <v>0.14142162893442034</v>
      </c>
      <c r="S13" s="3">
        <f t="shared" si="9"/>
        <v>0.11906797176917429</v>
      </c>
      <c r="T13">
        <f>(0.7336+0.7424)/2</f>
        <v>0.73799999999999999</v>
      </c>
      <c r="U13">
        <f t="shared" si="10"/>
        <v>2.6259642212374857E-2</v>
      </c>
      <c r="V13">
        <f t="shared" si="11"/>
        <v>7.8778926637124574E-2</v>
      </c>
      <c r="W13">
        <f t="shared" si="12"/>
        <v>0.73368592781130682</v>
      </c>
      <c r="X13">
        <f t="shared" si="23"/>
        <v>0.12034386677199109</v>
      </c>
      <c r="Z13">
        <f>(0.5179+0.5176)/2</f>
        <v>0.51774999999999993</v>
      </c>
      <c r="AA13">
        <f t="shared" si="13"/>
        <v>1.9030034465780405E-2</v>
      </c>
      <c r="AB13">
        <f t="shared" si="14"/>
        <v>5.7090103397341212E-2</v>
      </c>
      <c r="AC13">
        <f t="shared" si="15"/>
        <v>0.53169302081075642</v>
      </c>
      <c r="AD13">
        <f t="shared" si="24"/>
        <v>0.12390669533314</v>
      </c>
      <c r="AF13">
        <f>(0.7205+0.721)/2</f>
        <v>0.72075</v>
      </c>
      <c r="AG13">
        <f t="shared" si="16"/>
        <v>2.5693418677170527E-2</v>
      </c>
      <c r="AH13">
        <f t="shared" si="17"/>
        <v>7.7080256031511571E-2</v>
      </c>
      <c r="AI13">
        <f t="shared" si="25"/>
        <v>0.71786582499287543</v>
      </c>
      <c r="AJ13">
        <f t="shared" si="26"/>
        <v>0.11266339641819827</v>
      </c>
      <c r="AK13" s="3">
        <f t="shared" si="18"/>
        <v>0.11897131950777645</v>
      </c>
      <c r="AL13">
        <v>11</v>
      </c>
      <c r="AM13">
        <f t="shared" si="19"/>
        <v>8.5899345920000092E-2</v>
      </c>
    </row>
    <row r="14" spans="1:39">
      <c r="A14">
        <v>166</v>
      </c>
      <c r="B14">
        <f>(0.5597+0.5643)/2</f>
        <v>0.56200000000000006</v>
      </c>
      <c r="C14">
        <f t="shared" si="0"/>
        <v>2.0482520925652392E-2</v>
      </c>
      <c r="D14">
        <f t="shared" si="1"/>
        <v>6.1447562776957169E-2</v>
      </c>
      <c r="E14">
        <f t="shared" si="2"/>
        <v>0.71534377961602413</v>
      </c>
      <c r="F14">
        <f t="shared" si="20"/>
        <v>0.11925576480661912</v>
      </c>
      <c r="H14">
        <f>(0.7217+0.7222)/2</f>
        <v>0.72194999999999998</v>
      </c>
      <c r="I14">
        <f t="shared" si="3"/>
        <v>2.5732808140489085E-2</v>
      </c>
      <c r="J14">
        <f t="shared" si="4"/>
        <v>7.7198424421467238E-2</v>
      </c>
      <c r="K14">
        <f t="shared" si="5"/>
        <v>0.89870794235574025</v>
      </c>
      <c r="L14">
        <f t="shared" si="21"/>
        <v>0.13076749868265536</v>
      </c>
      <c r="N14">
        <f>(0.8161+0.8182)/2</f>
        <v>0.81715000000000004</v>
      </c>
      <c r="O14">
        <f t="shared" si="6"/>
        <v>2.8857705563761698E-2</v>
      </c>
      <c r="P14">
        <f t="shared" si="7"/>
        <v>8.6573116691285076E-2</v>
      </c>
      <c r="Q14">
        <f t="shared" si="8"/>
        <v>1.0078437241176723</v>
      </c>
      <c r="R14">
        <f t="shared" si="22"/>
        <v>0.17900660141340655</v>
      </c>
      <c r="S14" s="3">
        <f t="shared" si="9"/>
        <v>0.14300995496756033</v>
      </c>
      <c r="T14">
        <f>(0.7282+0.7286)/2</f>
        <v>0.72839999999999994</v>
      </c>
      <c r="U14">
        <f t="shared" si="10"/>
        <v>2.5944526505826359E-2</v>
      </c>
      <c r="V14">
        <f t="shared" si="11"/>
        <v>7.7833579517479073E-2</v>
      </c>
      <c r="W14">
        <f t="shared" si="12"/>
        <v>0.90610212084696384</v>
      </c>
      <c r="X14">
        <f t="shared" si="23"/>
        <v>0.14499261056866394</v>
      </c>
      <c r="Z14">
        <f>(0.4045+0.4017)/2</f>
        <v>0.40310000000000001</v>
      </c>
      <c r="AA14">
        <f t="shared" si="13"/>
        <v>1.5266699491219433E-2</v>
      </c>
      <c r="AB14">
        <f t="shared" si="14"/>
        <v>4.5800098473658298E-2</v>
      </c>
      <c r="AC14">
        <f t="shared" si="15"/>
        <v>0.53318332035162308</v>
      </c>
      <c r="AD14">
        <f t="shared" si="24"/>
        <v>0.1242539974114778</v>
      </c>
      <c r="AF14">
        <f>(0.6076+0.6066)/2</f>
        <v>0.60709999999999997</v>
      </c>
      <c r="AG14">
        <f t="shared" si="16"/>
        <v>2.1962908255375023E-2</v>
      </c>
      <c r="AH14">
        <f t="shared" si="17"/>
        <v>6.5888724766125062E-2</v>
      </c>
      <c r="AI14">
        <f t="shared" si="25"/>
        <v>0.76704570984147713</v>
      </c>
      <c r="AJ14">
        <f t="shared" si="26"/>
        <v>0.1203817926276213</v>
      </c>
      <c r="AK14" s="3">
        <f t="shared" si="18"/>
        <v>0.12987613353592101</v>
      </c>
      <c r="AL14">
        <v>12</v>
      </c>
      <c r="AM14">
        <f t="shared" si="19"/>
        <v>6.8719476736000096E-2</v>
      </c>
    </row>
    <row r="15" spans="1:39">
      <c r="A15">
        <v>188</v>
      </c>
      <c r="B15">
        <f>(0.4402+0.4397)/2</f>
        <v>0.43994999999999995</v>
      </c>
      <c r="C15">
        <f t="shared" si="0"/>
        <v>1.6476284260626944E-2</v>
      </c>
      <c r="D15">
        <f t="shared" si="1"/>
        <v>4.9428852781880826E-2</v>
      </c>
      <c r="E15">
        <f t="shared" si="2"/>
        <v>0.71928447551735386</v>
      </c>
      <c r="F15">
        <f t="shared" si="20"/>
        <v>0.1199127226455978</v>
      </c>
      <c r="H15">
        <f>(0.5786+0.5794)/2</f>
        <v>0.57899999999999996</v>
      </c>
      <c r="I15">
        <f t="shared" si="3"/>
        <v>2.1040538322665354E-2</v>
      </c>
      <c r="J15">
        <f t="shared" si="4"/>
        <v>6.3121614967996051E-2</v>
      </c>
      <c r="K15">
        <f t="shared" si="5"/>
        <v>0.91854039009188948</v>
      </c>
      <c r="L15">
        <f t="shared" si="21"/>
        <v>0.13365324104786988</v>
      </c>
      <c r="N15">
        <f>(0.6112+0.6126)/2</f>
        <v>0.6119</v>
      </c>
      <c r="O15">
        <f t="shared" si="6"/>
        <v>2.2120466108649268E-2</v>
      </c>
      <c r="P15">
        <f t="shared" si="7"/>
        <v>6.6361398325947799E-2</v>
      </c>
      <c r="Q15">
        <f t="shared" si="8"/>
        <v>0.96568544287507696</v>
      </c>
      <c r="R15">
        <f t="shared" si="22"/>
        <v>0.17900660141340655</v>
      </c>
      <c r="S15" s="3">
        <f t="shared" si="9"/>
        <v>0.14419085503562476</v>
      </c>
      <c r="T15">
        <f>(0.5325+0.5338)/2</f>
        <v>0.53315000000000001</v>
      </c>
      <c r="U15">
        <f t="shared" si="10"/>
        <v>1.9535532578368622E-2</v>
      </c>
      <c r="V15">
        <f t="shared" si="11"/>
        <v>5.8606597735105861E-2</v>
      </c>
      <c r="W15">
        <f t="shared" si="12"/>
        <v>0.85283824206425607</v>
      </c>
      <c r="X15">
        <f t="shared" si="23"/>
        <v>0.14499261056866394</v>
      </c>
      <c r="Z15">
        <f>(0.3837+0.3832)/2</f>
        <v>0.38344999999999996</v>
      </c>
      <c r="AA15">
        <f t="shared" si="13"/>
        <v>1.4621697029377973E-2</v>
      </c>
      <c r="AB15">
        <f t="shared" si="14"/>
        <v>4.3865091088133912E-2</v>
      </c>
      <c r="AC15">
        <f t="shared" si="15"/>
        <v>0.63832108699911405</v>
      </c>
      <c r="AD15">
        <f t="shared" si="24"/>
        <v>0.14875549114959888</v>
      </c>
      <c r="AF15">
        <f>(0.5137+0.5141)/2</f>
        <v>0.51390000000000002</v>
      </c>
      <c r="AG15">
        <f t="shared" si="16"/>
        <v>1.8903659937633353E-2</v>
      </c>
      <c r="AH15">
        <f t="shared" si="17"/>
        <v>5.6710979812900054E-2</v>
      </c>
      <c r="AI15">
        <f t="shared" si="25"/>
        <v>0.82525337075494432</v>
      </c>
      <c r="AJ15">
        <f t="shared" si="26"/>
        <v>0.1295170273020608</v>
      </c>
      <c r="AK15" s="3">
        <f t="shared" si="18"/>
        <v>0.14108837634010787</v>
      </c>
      <c r="AL15">
        <v>13</v>
      </c>
      <c r="AM15">
        <f t="shared" si="19"/>
        <v>5.4975581388800078E-2</v>
      </c>
    </row>
    <row r="16" spans="1:39">
      <c r="A16">
        <v>237</v>
      </c>
      <c r="B16">
        <f>(0.4111+0.4115)/2</f>
        <v>0.4113</v>
      </c>
      <c r="C16">
        <f t="shared" si="0"/>
        <v>1.5535860823896274E-2</v>
      </c>
      <c r="D16">
        <f t="shared" si="1"/>
        <v>4.6607582471688815E-2</v>
      </c>
      <c r="E16">
        <f t="shared" si="2"/>
        <v>0.84778698640891437</v>
      </c>
      <c r="F16">
        <f t="shared" si="20"/>
        <v>0.14133552054029647</v>
      </c>
      <c r="H16">
        <f>(0.5058+0.505)/2</f>
        <v>0.50540000000000007</v>
      </c>
      <c r="I16">
        <f t="shared" si="3"/>
        <v>1.862465123912687E-2</v>
      </c>
      <c r="J16">
        <f t="shared" si="4"/>
        <v>5.5873953717380603E-2</v>
      </c>
      <c r="K16">
        <f t="shared" si="5"/>
        <v>1.016341297461268</v>
      </c>
      <c r="L16">
        <f t="shared" si="21"/>
        <v>0.1478838708474286</v>
      </c>
      <c r="N16">
        <f>(0.5327+0.5319)/2</f>
        <v>0.5323</v>
      </c>
      <c r="O16">
        <f t="shared" si="6"/>
        <v>1.9507631708517974E-2</v>
      </c>
      <c r="P16">
        <f t="shared" si="7"/>
        <v>5.852289512555392E-2</v>
      </c>
      <c r="Q16">
        <f t="shared" si="8"/>
        <v>1.0645252609820788</v>
      </c>
      <c r="R16">
        <f t="shared" si="22"/>
        <v>0.18907400475599209</v>
      </c>
      <c r="S16" s="3">
        <f t="shared" si="9"/>
        <v>0.15943113204790571</v>
      </c>
      <c r="T16">
        <f>(0.4846+0.4818)/2</f>
        <v>0.48319999999999996</v>
      </c>
      <c r="U16">
        <f t="shared" si="10"/>
        <v>1.7895946167733462E-2</v>
      </c>
      <c r="V16">
        <f t="shared" si="11"/>
        <v>5.3687838503200386E-2</v>
      </c>
      <c r="W16">
        <f t="shared" si="12"/>
        <v>0.97657609336602602</v>
      </c>
      <c r="X16">
        <f t="shared" si="23"/>
        <v>0.15626971170063328</v>
      </c>
      <c r="Z16">
        <f>(0.3245+0.3252)/2</f>
        <v>0.32484999999999997</v>
      </c>
      <c r="AA16">
        <f t="shared" si="13"/>
        <v>1.2698178237321516E-2</v>
      </c>
      <c r="AB16">
        <f t="shared" si="14"/>
        <v>3.8094534711964542E-2</v>
      </c>
      <c r="AC16">
        <f t="shared" si="15"/>
        <v>0.69293554974073213</v>
      </c>
      <c r="AD16">
        <f t="shared" si="24"/>
        <v>0.16148294351560877</v>
      </c>
      <c r="AF16">
        <f>(0.4532+0.4538)/2</f>
        <v>0.45350000000000001</v>
      </c>
      <c r="AG16">
        <f t="shared" si="16"/>
        <v>1.6921056950599051E-2</v>
      </c>
      <c r="AH16">
        <f t="shared" si="17"/>
        <v>5.076317085179715E-2</v>
      </c>
      <c r="AI16">
        <f t="shared" si="25"/>
        <v>0.92337669869806771</v>
      </c>
      <c r="AJ16">
        <f t="shared" si="26"/>
        <v>0.14491671204682308</v>
      </c>
      <c r="AK16" s="3">
        <f t="shared" si="18"/>
        <v>0.15422312242102174</v>
      </c>
      <c r="AL16">
        <v>14</v>
      </c>
      <c r="AM16">
        <f t="shared" si="19"/>
        <v>4.3980465111040062E-2</v>
      </c>
    </row>
    <row r="17" spans="1:39">
      <c r="A17">
        <v>276</v>
      </c>
      <c r="B17">
        <f>(0.3855+0.385)/2</f>
        <v>0.38524999999999998</v>
      </c>
      <c r="C17">
        <f t="shared" si="0"/>
        <v>1.4680781224355817E-2</v>
      </c>
      <c r="D17">
        <f t="shared" si="1"/>
        <v>4.4042343673067447E-2</v>
      </c>
      <c r="E17">
        <f t="shared" si="2"/>
        <v>1.0014069556079308</v>
      </c>
      <c r="F17">
        <f t="shared" si="20"/>
        <v>0.16694567811548591</v>
      </c>
      <c r="H17">
        <f>(0.4518+0.4511)/2</f>
        <v>0.45145000000000002</v>
      </c>
      <c r="I17">
        <f t="shared" si="3"/>
        <v>1.6853766617429836E-2</v>
      </c>
      <c r="J17">
        <f t="shared" si="4"/>
        <v>5.0561299852289507E-2</v>
      </c>
      <c r="K17">
        <f t="shared" si="5"/>
        <v>1.1496308582602395</v>
      </c>
      <c r="L17">
        <f t="shared" si="21"/>
        <v>0.16727831663423554</v>
      </c>
      <c r="N17">
        <f>(0.4856+0.4844)/2</f>
        <v>0.48499999999999999</v>
      </c>
      <c r="O17">
        <f t="shared" si="6"/>
        <v>1.7955030362711306E-2</v>
      </c>
      <c r="P17">
        <f t="shared" si="7"/>
        <v>5.3865091088133914E-2</v>
      </c>
      <c r="Q17">
        <f t="shared" si="8"/>
        <v>1.2247503738793475</v>
      </c>
      <c r="R17">
        <f t="shared" si="22"/>
        <v>0.21753213991571524</v>
      </c>
      <c r="S17" s="3">
        <f t="shared" si="9"/>
        <v>0.18391871155514558</v>
      </c>
      <c r="T17">
        <f>(0.4408+0.4411)/2</f>
        <v>0.44095000000000001</v>
      </c>
      <c r="U17">
        <f t="shared" si="10"/>
        <v>1.6509108813392417E-2</v>
      </c>
      <c r="V17">
        <f t="shared" si="11"/>
        <v>4.9527326440177245E-2</v>
      </c>
      <c r="W17">
        <f t="shared" si="12"/>
        <v>1.1261210247579851</v>
      </c>
      <c r="X17">
        <f t="shared" si="23"/>
        <v>0.18019958616066012</v>
      </c>
      <c r="Z17">
        <f>(0.2704+0.2706)/2</f>
        <v>0.27049999999999996</v>
      </c>
      <c r="AA17">
        <f t="shared" si="13"/>
        <v>1.0914163794518298E-2</v>
      </c>
      <c r="AB17">
        <f t="shared" si="14"/>
        <v>3.2742491383554888E-2</v>
      </c>
      <c r="AC17">
        <f t="shared" si="15"/>
        <v>0.74447806090472213</v>
      </c>
      <c r="AD17">
        <f t="shared" si="24"/>
        <v>0.17349450277542944</v>
      </c>
      <c r="AF17">
        <f>(0.3918+0.3924)/2</f>
        <v>0.3921</v>
      </c>
      <c r="AG17">
        <f t="shared" si="16"/>
        <v>1.4905629410799278E-2</v>
      </c>
      <c r="AH17">
        <f t="shared" si="17"/>
        <v>4.4716888232397833E-2</v>
      </c>
      <c r="AI17">
        <f t="shared" si="25"/>
        <v>1.0167443231784494</v>
      </c>
      <c r="AJ17">
        <f t="shared" si="26"/>
        <v>0.1595700265287642</v>
      </c>
      <c r="AK17" s="3">
        <f t="shared" si="18"/>
        <v>0.17108803848828458</v>
      </c>
      <c r="AL17">
        <v>15</v>
      </c>
      <c r="AM17">
        <f t="shared" si="19"/>
        <v>3.5184372088832058E-2</v>
      </c>
    </row>
    <row r="18" spans="1:39">
      <c r="A18">
        <v>305</v>
      </c>
      <c r="B18">
        <f>(0.3166+0.3149)/2</f>
        <v>0.31574999999999998</v>
      </c>
      <c r="C18">
        <f t="shared" ref="C18:C21" si="27">(B18+0.062)/30.465</f>
        <v>1.2399474807155753E-2</v>
      </c>
      <c r="D18">
        <f t="shared" ref="D18:D21" si="28">C18*0.6/0.2</f>
        <v>3.7198424421467251E-2</v>
      </c>
      <c r="E18">
        <f t="shared" si="2"/>
        <v>1.0572428101757847</v>
      </c>
      <c r="F18">
        <f t="shared" si="20"/>
        <v>0.17625413613226604</v>
      </c>
      <c r="H18">
        <f>(0.4078+0.4015+0.4007)/3</f>
        <v>0.40333333333333332</v>
      </c>
      <c r="I18">
        <f t="shared" ref="I18:I21" si="29">(H18+0.062)/30.465</f>
        <v>1.5274358553531375E-2</v>
      </c>
      <c r="J18">
        <f t="shared" ref="J18:J21" si="30">I18*0.6/0.2</f>
        <v>4.5823075660594126E-2</v>
      </c>
      <c r="K18">
        <f t="shared" si="5"/>
        <v>1.3023701416328222</v>
      </c>
      <c r="L18">
        <f t="shared" si="21"/>
        <v>0.18950281593582041</v>
      </c>
      <c r="N18">
        <f>(0.4462+0.4454)/2</f>
        <v>0.44579999999999997</v>
      </c>
      <c r="O18">
        <f t="shared" ref="O18:O21" si="31">(N18+0.062)/30.465</f>
        <v>1.6668307894304943E-2</v>
      </c>
      <c r="P18">
        <f t="shared" ref="P18:P21" si="32">O18*0.6/0.2</f>
        <v>5.0004923682914829E-2</v>
      </c>
      <c r="Q18">
        <f t="shared" si="8"/>
        <v>1.4212254110053306</v>
      </c>
      <c r="R18">
        <f t="shared" si="22"/>
        <v>0.25242874919835512</v>
      </c>
      <c r="S18" s="3">
        <f t="shared" si="9"/>
        <v>0.2060619004221472</v>
      </c>
      <c r="T18">
        <f>(0.3689+0.3715)/2</f>
        <v>0.37019999999999997</v>
      </c>
      <c r="U18">
        <f t="shared" ref="U18:U21" si="33">(T18+0.062)/30.465</f>
        <v>1.4186771705235515E-2</v>
      </c>
      <c r="V18">
        <f t="shared" ref="V18:V21" si="34">U18*0.6/0.2</f>
        <v>4.2560315115706543E-2</v>
      </c>
      <c r="W18">
        <f t="shared" si="12"/>
        <v>1.2096369094850408</v>
      </c>
      <c r="X18">
        <f t="shared" si="23"/>
        <v>0.19356362744466962</v>
      </c>
      <c r="Z18">
        <f>(0.2253+0.2255)/2</f>
        <v>0.22539999999999999</v>
      </c>
      <c r="AA18">
        <f t="shared" ref="AA18:AA21" si="35">(Z18+0.062)/30.465</f>
        <v>9.4337764647956669E-3</v>
      </c>
      <c r="AB18">
        <f t="shared" ref="AB18:AB21" si="36">AA18*0.6/0.2</f>
        <v>2.8301329394386999E-2</v>
      </c>
      <c r="AC18">
        <f t="shared" si="15"/>
        <v>0.8043721605414178</v>
      </c>
      <c r="AD18">
        <f t="shared" si="24"/>
        <v>0.1874523311942046</v>
      </c>
      <c r="AF18">
        <f>(0.3062+0.3093)/2</f>
        <v>0.30775000000000002</v>
      </c>
      <c r="AG18">
        <f t="shared" ref="AG18:AG21" si="37">(AF18+0.062)/30.465</f>
        <v>1.2136878385032005E-2</v>
      </c>
      <c r="AH18">
        <f t="shared" ref="AH18:AH21" si="38">AG18*0.6/0.2</f>
        <v>3.6410635155096009E-2</v>
      </c>
      <c r="AI18">
        <f t="shared" si="25"/>
        <v>1.0348524925545901</v>
      </c>
      <c r="AJ18">
        <f t="shared" si="26"/>
        <v>0.16241196132187441</v>
      </c>
      <c r="AK18" s="3">
        <f t="shared" si="18"/>
        <v>0.18114263998691618</v>
      </c>
      <c r="AL18">
        <v>16</v>
      </c>
      <c r="AM18">
        <f t="shared" si="19"/>
        <v>2.8147497671065648E-2</v>
      </c>
    </row>
    <row r="19" spans="1:39">
      <c r="A19">
        <v>376</v>
      </c>
      <c r="B19">
        <f>(0.2471)</f>
        <v>0.24709999999999999</v>
      </c>
      <c r="C19">
        <f t="shared" si="27"/>
        <v>1.0146069259806335E-2</v>
      </c>
      <c r="D19">
        <f t="shared" si="28"/>
        <v>3.0438207779419003E-2</v>
      </c>
      <c r="E19">
        <f t="shared" si="2"/>
        <v>1.0813823713611352</v>
      </c>
      <c r="F19">
        <f t="shared" si="20"/>
        <v>0.18027846948538531</v>
      </c>
      <c r="H19">
        <f>(0.3592+0.3577)/2</f>
        <v>0.35845000000000005</v>
      </c>
      <c r="I19">
        <f t="shared" si="29"/>
        <v>1.3801083210241262E-2</v>
      </c>
      <c r="J19">
        <f t="shared" si="30"/>
        <v>4.1403249630723782E-2</v>
      </c>
      <c r="K19">
        <f t="shared" si="5"/>
        <v>1.4709389130986392</v>
      </c>
      <c r="L19">
        <f t="shared" si="21"/>
        <v>0.21403060250774272</v>
      </c>
      <c r="N19">
        <f>(0.3736+0.3728)/2</f>
        <v>0.37319999999999998</v>
      </c>
      <c r="O19">
        <f t="shared" si="31"/>
        <v>1.4285245363531922E-2</v>
      </c>
      <c r="P19">
        <f t="shared" si="32"/>
        <v>4.2855736090595759E-2</v>
      </c>
      <c r="Q19">
        <f t="shared" si="8"/>
        <v>1.522541598241236</v>
      </c>
      <c r="R19">
        <f t="shared" si="22"/>
        <v>0.27042386680564229</v>
      </c>
      <c r="S19" s="3">
        <f t="shared" si="9"/>
        <v>0.22157764626625678</v>
      </c>
      <c r="T19">
        <v>0.30919999999999997</v>
      </c>
      <c r="U19">
        <f t="shared" si="33"/>
        <v>1.2184473986541933E-2</v>
      </c>
      <c r="V19">
        <f t="shared" si="34"/>
        <v>3.6553421959625798E-2</v>
      </c>
      <c r="W19">
        <f t="shared" si="12"/>
        <v>1.2986384220292897</v>
      </c>
      <c r="X19">
        <f t="shared" si="23"/>
        <v>0.2078054676870123</v>
      </c>
      <c r="Z19">
        <v>0.2026</v>
      </c>
      <c r="AA19">
        <f t="shared" si="35"/>
        <v>8.6853766617429832E-3</v>
      </c>
      <c r="AB19">
        <f t="shared" si="36"/>
        <v>2.6056129985228948E-2</v>
      </c>
      <c r="AC19">
        <f t="shared" si="15"/>
        <v>0.92569969415126618</v>
      </c>
      <c r="AD19">
        <f t="shared" si="24"/>
        <v>0.21572671726681686</v>
      </c>
      <c r="AF19">
        <v>0.2878</v>
      </c>
      <c r="AG19">
        <f t="shared" si="37"/>
        <v>1.1482028557360906E-2</v>
      </c>
      <c r="AH19">
        <f t="shared" si="38"/>
        <v>3.4446085672082717E-2</v>
      </c>
      <c r="AI19">
        <f t="shared" si="25"/>
        <v>1.22377079748342</v>
      </c>
      <c r="AJ19">
        <f t="shared" si="26"/>
        <v>0.19206120375385963</v>
      </c>
      <c r="AK19" s="3">
        <f t="shared" si="18"/>
        <v>0.20519779623589626</v>
      </c>
      <c r="AL19">
        <v>17</v>
      </c>
      <c r="AM19">
        <f t="shared" si="19"/>
        <v>2.251799813685252E-2</v>
      </c>
    </row>
    <row r="20" spans="1:39">
      <c r="A20">
        <v>408.5</v>
      </c>
      <c r="B20">
        <v>0.24279999999999999</v>
      </c>
      <c r="C20">
        <f t="shared" si="27"/>
        <v>1.0004923682914819E-2</v>
      </c>
      <c r="D20">
        <f t="shared" si="28"/>
        <v>3.0014771048744456E-2</v>
      </c>
      <c r="E20">
        <f t="shared" si="2"/>
        <v>1.3329235958867436</v>
      </c>
      <c r="F20">
        <f t="shared" si="20"/>
        <v>0.22221318949832347</v>
      </c>
      <c r="H20">
        <f>(0.3144+0.3139)/2</f>
        <v>0.31415000000000004</v>
      </c>
      <c r="I20">
        <f t="shared" si="29"/>
        <v>1.2346955522731004E-2</v>
      </c>
      <c r="J20">
        <f t="shared" si="30"/>
        <v>3.7040866568193005E-2</v>
      </c>
      <c r="K20">
        <f t="shared" si="5"/>
        <v>1.6449449166430403</v>
      </c>
      <c r="L20">
        <f t="shared" si="21"/>
        <v>0.23934953958047156</v>
      </c>
      <c r="N20">
        <f>(0.3766+0.3718)/2</f>
        <v>0.37419999999999998</v>
      </c>
      <c r="O20">
        <f t="shared" si="31"/>
        <v>1.431806991629739E-2</v>
      </c>
      <c r="P20">
        <f t="shared" si="32"/>
        <v>4.2954209748892164E-2</v>
      </c>
      <c r="Q20">
        <f t="shared" si="8"/>
        <v>1.9075501067119345</v>
      </c>
      <c r="R20">
        <f t="shared" si="22"/>
        <v>0.33880655647007452</v>
      </c>
      <c r="S20" s="3">
        <f t="shared" si="9"/>
        <v>0.26678976184962316</v>
      </c>
      <c r="T20">
        <f>(0.2658+0.2656)/2</f>
        <v>0.26569999999999999</v>
      </c>
      <c r="U20">
        <f t="shared" si="33"/>
        <v>1.075660594124405E-2</v>
      </c>
      <c r="V20">
        <f t="shared" si="34"/>
        <v>3.2269817823732151E-2</v>
      </c>
      <c r="W20">
        <f t="shared" si="12"/>
        <v>1.4330677899346653</v>
      </c>
      <c r="X20">
        <f t="shared" si="23"/>
        <v>0.22931658055305068</v>
      </c>
      <c r="Z20">
        <f>(0.1637+0.1633)/2</f>
        <v>0.16350000000000001</v>
      </c>
      <c r="AA20">
        <f t="shared" si="35"/>
        <v>7.4019366486131628E-3</v>
      </c>
      <c r="AB20">
        <f t="shared" si="36"/>
        <v>2.2205809945839487E-2</v>
      </c>
      <c r="AC20">
        <f t="shared" si="15"/>
        <v>0.9861360592928502</v>
      </c>
      <c r="AD20">
        <f t="shared" si="24"/>
        <v>0.22981091621157976</v>
      </c>
      <c r="AF20">
        <f>(0.2565+0.2571)/2</f>
        <v>0.25680000000000003</v>
      </c>
      <c r="AG20">
        <f t="shared" si="37"/>
        <v>1.0464467421631381E-2</v>
      </c>
      <c r="AH20">
        <f t="shared" si="38"/>
        <v>3.1393402264894135E-2</v>
      </c>
      <c r="AI20">
        <f t="shared" si="25"/>
        <v>1.3941471206321978</v>
      </c>
      <c r="AJ20">
        <f t="shared" si="26"/>
        <v>0.21880042794714993</v>
      </c>
      <c r="AK20" s="3">
        <f t="shared" si="18"/>
        <v>0.22597597490392682</v>
      </c>
      <c r="AL20">
        <v>18</v>
      </c>
      <c r="AM20">
        <f t="shared" si="19"/>
        <v>1.8014398509482017E-2</v>
      </c>
    </row>
    <row r="21" spans="1:39">
      <c r="A21">
        <v>452</v>
      </c>
      <c r="B21">
        <v>0.1976</v>
      </c>
      <c r="C21">
        <f t="shared" si="27"/>
        <v>8.5212538979156406E-3</v>
      </c>
      <c r="D21">
        <f t="shared" si="28"/>
        <v>2.5563761693746922E-2</v>
      </c>
      <c r="E21">
        <f t="shared" si="2"/>
        <v>1.4190738414214186</v>
      </c>
      <c r="F21">
        <f t="shared" si="20"/>
        <v>0.23657539367521649</v>
      </c>
      <c r="H21">
        <v>0.27245000000000003</v>
      </c>
      <c r="I21">
        <f t="shared" si="29"/>
        <v>1.0978171672410964E-2</v>
      </c>
      <c r="J21">
        <f t="shared" si="30"/>
        <v>3.2934515017232886E-2</v>
      </c>
      <c r="K21">
        <f t="shared" si="5"/>
        <v>1.8282328438497435</v>
      </c>
      <c r="L21">
        <f t="shared" si="21"/>
        <v>0.26601905327890707</v>
      </c>
      <c r="N21">
        <v>0.26384999999999997</v>
      </c>
      <c r="O21">
        <f t="shared" si="31"/>
        <v>1.0695880518627934E-2</v>
      </c>
      <c r="P21">
        <f t="shared" si="32"/>
        <v>3.2087641555883797E-2</v>
      </c>
      <c r="Q21">
        <f>IF(P21-P20&gt;0,Q20+(P21-P20*0.8)/AM20,P21/AM20)</f>
        <v>1.7812219230630555</v>
      </c>
      <c r="R21">
        <f t="shared" si="22"/>
        <v>0.33880655647007452</v>
      </c>
      <c r="S21" s="3">
        <f t="shared" si="9"/>
        <v>0.28046700114139939</v>
      </c>
      <c r="T21">
        <f>0.2128</f>
        <v>0.21279999999999999</v>
      </c>
      <c r="U21">
        <f t="shared" si="33"/>
        <v>9.0201870999507636E-3</v>
      </c>
      <c r="V21">
        <f t="shared" si="34"/>
        <v>2.7060561299852286E-2</v>
      </c>
      <c r="W21">
        <f t="shared" si="12"/>
        <v>1.5021629107188204</v>
      </c>
      <c r="X21">
        <f t="shared" si="23"/>
        <v>0.24037304064685044</v>
      </c>
      <c r="Z21">
        <v>0.1396</v>
      </c>
      <c r="AA21">
        <f t="shared" si="35"/>
        <v>6.6174298375184636E-3</v>
      </c>
      <c r="AB21">
        <f t="shared" si="36"/>
        <v>1.9852289512555389E-2</v>
      </c>
      <c r="AC21">
        <f t="shared" si="15"/>
        <v>1.1020234454181739</v>
      </c>
      <c r="AD21">
        <f t="shared" si="24"/>
        <v>0.25681752055573431</v>
      </c>
      <c r="AF21">
        <v>0.18529999999999999</v>
      </c>
      <c r="AG21">
        <f t="shared" si="37"/>
        <v>8.1175118989003769E-3</v>
      </c>
      <c r="AH21">
        <f t="shared" si="38"/>
        <v>2.4352535696701125E-2</v>
      </c>
      <c r="AI21">
        <f t="shared" si="25"/>
        <v>1.3518372919241783</v>
      </c>
      <c r="AJ21">
        <f t="shared" si="26"/>
        <v>0.21880042794714993</v>
      </c>
      <c r="AK21" s="3">
        <f t="shared" si="18"/>
        <v>0.23866366304991157</v>
      </c>
      <c r="AL21">
        <v>19</v>
      </c>
      <c r="AM21">
        <f t="shared" si="19"/>
        <v>1.4411518807585615E-2</v>
      </c>
    </row>
    <row r="22" spans="1:39" ht="12.75" customHeight="1">
      <c r="A22">
        <v>500</v>
      </c>
      <c r="B22">
        <v>0.18859999999999999</v>
      </c>
      <c r="C22">
        <f t="shared" ref="C22:C29" si="39">(B22+0.062)/30.465</f>
        <v>8.2258329230264233E-3</v>
      </c>
      <c r="D22">
        <f t="shared" ref="D22:D29" si="40">C22*0.6/0.2</f>
        <v>2.4677498769079268E-2</v>
      </c>
      <c r="E22">
        <f t="shared" si="2"/>
        <v>1.7123454577244195</v>
      </c>
      <c r="F22">
        <f t="shared" si="20"/>
        <v>0.28546703416318009</v>
      </c>
      <c r="H22">
        <v>0.21345</v>
      </c>
      <c r="I22">
        <f t="shared" ref="I22:I29" si="41">(H22+0.062)/30.465</f>
        <v>9.0415230592483173E-3</v>
      </c>
      <c r="J22">
        <f t="shared" ref="J22:J29" si="42">I22*0.6/0.2</f>
        <v>2.7124569177744948E-2</v>
      </c>
      <c r="K22">
        <f t="shared" si="5"/>
        <v>1.8821450771356396</v>
      </c>
      <c r="L22">
        <f t="shared" si="21"/>
        <v>0.27386361274358995</v>
      </c>
      <c r="N22">
        <v>0.21457000000000001</v>
      </c>
      <c r="O22">
        <f t="shared" ref="O22:O29" si="43">(N22+0.062)/30.465</f>
        <v>9.0782865583456419E-3</v>
      </c>
      <c r="P22">
        <f t="shared" ref="P22:P29" si="44">O22*0.6/0.2</f>
        <v>2.7234859675036922E-2</v>
      </c>
      <c r="Q22">
        <f t="shared" si="8"/>
        <v>1.8897980177288214</v>
      </c>
      <c r="R22">
        <f t="shared" si="22"/>
        <v>0.33880655647007452</v>
      </c>
      <c r="S22" s="3">
        <f t="shared" si="9"/>
        <v>0.29937906779228152</v>
      </c>
      <c r="T22">
        <v>0.2011</v>
      </c>
      <c r="U22">
        <f t="shared" ref="U22:U29" si="45">(T22+0.062)/30.465</f>
        <v>8.6361398325947806E-3</v>
      </c>
      <c r="V22">
        <f t="shared" ref="V22:V29" si="46">U22*0.6/0.2</f>
        <v>2.590841949778434E-2</v>
      </c>
      <c r="W22">
        <f t="shared" si="12"/>
        <v>1.7977577411304659</v>
      </c>
      <c r="X22">
        <f t="shared" si="23"/>
        <v>0.28767352162566573</v>
      </c>
      <c r="Z22">
        <v>0.1134</v>
      </c>
      <c r="AA22">
        <f t="shared" ref="AA22:AA29" si="47">(Z22+0.062)/30.465</f>
        <v>5.7574265550631876E-3</v>
      </c>
      <c r="AB22">
        <f t="shared" ref="AB22:AB29" si="48">AA22*0.6/0.2</f>
        <v>1.7272279665189561E-2</v>
      </c>
      <c r="AC22">
        <f t="shared" si="15"/>
        <v>1.1985051607536441</v>
      </c>
      <c r="AD22">
        <f t="shared" si="24"/>
        <v>0.27930179256867438</v>
      </c>
      <c r="AF22">
        <v>0.18198</v>
      </c>
      <c r="AG22">
        <f t="shared" ref="AG22:AG29" si="49">(AF22+0.062)/30.465</f>
        <v>8.0085343837190213E-3</v>
      </c>
      <c r="AH22">
        <f t="shared" ref="AH22:AH29" si="50">AG22*0.6/0.2</f>
        <v>2.4025603151157062E-2</v>
      </c>
      <c r="AI22">
        <f t="shared" si="25"/>
        <v>1.6671111124325773</v>
      </c>
      <c r="AJ22">
        <f t="shared" si="26"/>
        <v>0.26163998005482297</v>
      </c>
      <c r="AK22" s="3">
        <f t="shared" si="18"/>
        <v>0.27620509808305438</v>
      </c>
      <c r="AL22">
        <v>20</v>
      </c>
      <c r="AM22">
        <f t="shared" si="19"/>
        <v>1.1529215046068495E-2</v>
      </c>
    </row>
    <row r="23" spans="1:39">
      <c r="A23">
        <v>548</v>
      </c>
      <c r="B23">
        <v>0.1724</v>
      </c>
      <c r="C23">
        <f t="shared" si="39"/>
        <v>7.6940751682258324E-3</v>
      </c>
      <c r="D23">
        <f t="shared" si="40"/>
        <v>2.3082225504677492E-2</v>
      </c>
      <c r="E23">
        <f t="shared" si="2"/>
        <v>2.0020639230377282</v>
      </c>
      <c r="F23">
        <f t="shared" si="20"/>
        <v>0.33376632485958391</v>
      </c>
      <c r="H23">
        <v>0.18673000000000001</v>
      </c>
      <c r="I23">
        <f t="shared" si="41"/>
        <v>8.1644510093549973E-3</v>
      </c>
      <c r="J23">
        <f t="shared" si="42"/>
        <v>2.449335302806499E-2</v>
      </c>
      <c r="K23">
        <f t="shared" si="5"/>
        <v>2.124459725158593</v>
      </c>
      <c r="L23">
        <f t="shared" si="21"/>
        <v>0.30912187510307282</v>
      </c>
      <c r="N23">
        <v>0.17843000000000001</v>
      </c>
      <c r="O23">
        <f t="shared" si="43"/>
        <v>7.8920072214016083E-3</v>
      </c>
      <c r="P23">
        <f t="shared" si="44"/>
        <v>2.3676021664204822E-2</v>
      </c>
      <c r="Q23">
        <f t="shared" si="8"/>
        <v>2.0535675299315743</v>
      </c>
      <c r="R23">
        <f t="shared" si="22"/>
        <v>0.36474121484240662</v>
      </c>
      <c r="S23" s="3">
        <f t="shared" si="9"/>
        <v>0.33587647160168776</v>
      </c>
      <c r="T23">
        <v>0.18765000000000001</v>
      </c>
      <c r="U23">
        <f t="shared" si="45"/>
        <v>8.1946495978992284E-3</v>
      </c>
      <c r="V23">
        <f t="shared" si="46"/>
        <v>2.4583948793697682E-2</v>
      </c>
      <c r="W23">
        <f t="shared" si="12"/>
        <v>2.1323176552319492</v>
      </c>
      <c r="X23">
        <f t="shared" si="23"/>
        <v>0.34120911570623064</v>
      </c>
      <c r="Z23">
        <v>0.10163</v>
      </c>
      <c r="AA23">
        <f t="shared" si="47"/>
        <v>5.3710815690136225E-3</v>
      </c>
      <c r="AB23">
        <f t="shared" si="48"/>
        <v>1.6113244707040866E-2</v>
      </c>
      <c r="AC23">
        <f t="shared" si="15"/>
        <v>1.3976011933731378</v>
      </c>
      <c r="AD23">
        <f t="shared" si="24"/>
        <v>0.32569948915345043</v>
      </c>
      <c r="AF23">
        <v>0.17982000000000001</v>
      </c>
      <c r="AG23">
        <f t="shared" si="49"/>
        <v>7.9376333497456104E-3</v>
      </c>
      <c r="AH23">
        <f t="shared" si="50"/>
        <v>2.3812900049236828E-2</v>
      </c>
      <c r="AI23">
        <f t="shared" si="25"/>
        <v>2.0654398373250151</v>
      </c>
      <c r="AJ23">
        <f t="shared" si="26"/>
        <v>0.32415454123728005</v>
      </c>
      <c r="AK23" s="3">
        <f t="shared" si="18"/>
        <v>0.33035438203232037</v>
      </c>
      <c r="AL23">
        <v>21</v>
      </c>
      <c r="AM23">
        <f t="shared" si="19"/>
        <v>9.2233720368547975E-3</v>
      </c>
    </row>
    <row r="24" spans="1:39">
      <c r="A24">
        <v>620</v>
      </c>
      <c r="B24">
        <v>0.16320000000000001</v>
      </c>
      <c r="C24">
        <f t="shared" si="39"/>
        <v>7.3920892827835224E-3</v>
      </c>
      <c r="D24">
        <f t="shared" si="40"/>
        <v>2.2176267848350566E-2</v>
      </c>
      <c r="E24">
        <f t="shared" si="2"/>
        <v>2.4043557778802072</v>
      </c>
      <c r="F24">
        <f t="shared" si="20"/>
        <v>0.40083285174049865</v>
      </c>
      <c r="H24">
        <v>0.179872</v>
      </c>
      <c r="I24">
        <f t="shared" si="41"/>
        <v>7.9393402264894136E-3</v>
      </c>
      <c r="J24">
        <f t="shared" si="42"/>
        <v>2.3818020679468241E-2</v>
      </c>
      <c r="K24">
        <f t="shared" si="5"/>
        <v>2.5823549764984075</v>
      </c>
      <c r="L24">
        <f t="shared" si="21"/>
        <v>0.3757484329138544</v>
      </c>
      <c r="N24">
        <v>0.17244999999999999</v>
      </c>
      <c r="O24">
        <f t="shared" si="43"/>
        <v>7.6957163958641063E-3</v>
      </c>
      <c r="P24">
        <f t="shared" si="44"/>
        <v>2.3087149187592318E-2</v>
      </c>
      <c r="Q24">
        <f t="shared" si="8"/>
        <v>2.5031137305684479</v>
      </c>
      <c r="R24">
        <f t="shared" si="22"/>
        <v>0.44458666670029856</v>
      </c>
      <c r="S24" s="3">
        <f t="shared" si="9"/>
        <v>0.40705598378488389</v>
      </c>
      <c r="T24">
        <v>0.16324</v>
      </c>
      <c r="U24">
        <f t="shared" si="45"/>
        <v>7.3934022648941408E-3</v>
      </c>
      <c r="V24">
        <f t="shared" si="46"/>
        <v>2.2180206794682421E-2</v>
      </c>
      <c r="W24">
        <f t="shared" si="12"/>
        <v>2.404782839297237</v>
      </c>
      <c r="X24">
        <f t="shared" si="23"/>
        <v>0.38480843792144692</v>
      </c>
      <c r="Z24">
        <v>8.7499999999999994E-2</v>
      </c>
      <c r="AA24">
        <f t="shared" si="47"/>
        <v>4.9072706384375511E-3</v>
      </c>
      <c r="AB24">
        <f t="shared" si="48"/>
        <v>1.4721811915312653E-2</v>
      </c>
      <c r="AC24">
        <f t="shared" si="15"/>
        <v>1.5961420461504927</v>
      </c>
      <c r="AD24">
        <f t="shared" si="24"/>
        <v>0.37196780563191989</v>
      </c>
      <c r="AF24">
        <v>0.17133999999999999</v>
      </c>
      <c r="AG24">
        <f t="shared" si="49"/>
        <v>7.6592811422944362E-3</v>
      </c>
      <c r="AH24">
        <f t="shared" si="50"/>
        <v>2.2977843426883304E-2</v>
      </c>
      <c r="AI24">
        <f t="shared" si="25"/>
        <v>2.491262776245859</v>
      </c>
      <c r="AJ24">
        <f t="shared" si="26"/>
        <v>0.39098410311547283</v>
      </c>
      <c r="AK24" s="3">
        <f t="shared" si="18"/>
        <v>0.38258678222294656</v>
      </c>
      <c r="AL24">
        <v>22</v>
      </c>
      <c r="AM24">
        <f t="shared" si="19"/>
        <v>7.3786976294838375E-3</v>
      </c>
    </row>
    <row r="25" spans="1:39">
      <c r="A25">
        <v>716</v>
      </c>
      <c r="B25">
        <v>0.15240000000000001</v>
      </c>
      <c r="C25">
        <f t="shared" si="39"/>
        <v>7.0375841129164621E-3</v>
      </c>
      <c r="D25">
        <f t="shared" si="40"/>
        <v>2.1112752338749385E-2</v>
      </c>
      <c r="E25">
        <f t="shared" si="2"/>
        <v>2.8613114941025555</v>
      </c>
      <c r="F25">
        <f t="shared" si="20"/>
        <v>0.47701245233771594</v>
      </c>
      <c r="H25">
        <v>0.17321</v>
      </c>
      <c r="I25">
        <f t="shared" si="41"/>
        <v>7.7206630559658622E-3</v>
      </c>
      <c r="J25">
        <f t="shared" si="42"/>
        <v>2.3161989167897582E-2</v>
      </c>
      <c r="K25">
        <f t="shared" si="5"/>
        <v>3.1390348718650278</v>
      </c>
      <c r="L25">
        <f t="shared" si="21"/>
        <v>0.45674876022063166</v>
      </c>
      <c r="N25">
        <v>0.17102000000000001</v>
      </c>
      <c r="O25">
        <f t="shared" si="43"/>
        <v>7.6487772854094867E-3</v>
      </c>
      <c r="P25">
        <f t="shared" si="44"/>
        <v>2.294633185622846E-2</v>
      </c>
      <c r="Q25">
        <f t="shared" si="8"/>
        <v>3.1098078561370222</v>
      </c>
      <c r="R25">
        <f t="shared" si="22"/>
        <v>0.55234370374548725</v>
      </c>
      <c r="S25" s="3">
        <f t="shared" si="9"/>
        <v>0.49536830543461163</v>
      </c>
      <c r="T25">
        <v>0.14535999999999999</v>
      </c>
      <c r="U25">
        <f t="shared" si="45"/>
        <v>6.8064992614475621E-3</v>
      </c>
      <c r="V25">
        <f t="shared" si="46"/>
        <v>2.0419497784342683E-2</v>
      </c>
      <c r="W25">
        <f t="shared" si="12"/>
        <v>2.7673579823559038</v>
      </c>
      <c r="X25">
        <f t="shared" si="23"/>
        <v>0.44282697171567675</v>
      </c>
      <c r="Z25">
        <v>7.4200000000000002E-2</v>
      </c>
      <c r="AA25">
        <f t="shared" si="47"/>
        <v>4.4707040866568187E-3</v>
      </c>
      <c r="AB25">
        <f t="shared" si="48"/>
        <v>1.3412112259970455E-2</v>
      </c>
      <c r="AC25">
        <f t="shared" si="15"/>
        <v>1.8176801562349254</v>
      </c>
      <c r="AD25">
        <f t="shared" si="24"/>
        <v>0.42359544420624984</v>
      </c>
      <c r="AF25">
        <v>0.16241</v>
      </c>
      <c r="AG25">
        <f t="shared" si="49"/>
        <v>7.3661578860988019E-3</v>
      </c>
      <c r="AH25">
        <f t="shared" si="50"/>
        <v>2.2098473658296404E-2</v>
      </c>
      <c r="AI25">
        <f t="shared" si="25"/>
        <v>2.9949016436173248</v>
      </c>
      <c r="AJ25">
        <f t="shared" si="26"/>
        <v>0.47002626307182255</v>
      </c>
      <c r="AK25" s="3">
        <f t="shared" si="18"/>
        <v>0.44548289299791638</v>
      </c>
      <c r="AL25">
        <v>23</v>
      </c>
      <c r="AM25">
        <f t="shared" si="19"/>
        <v>5.902958103587071E-3</v>
      </c>
    </row>
    <row r="26" spans="1:39">
      <c r="A26">
        <v>788</v>
      </c>
      <c r="B26">
        <v>0.1411</v>
      </c>
      <c r="C26">
        <f t="shared" si="39"/>
        <v>6.6666666666666671E-3</v>
      </c>
      <c r="D26">
        <f t="shared" si="40"/>
        <v>0.02</v>
      </c>
      <c r="E26">
        <f t="shared" si="2"/>
        <v>3.3881317890171929</v>
      </c>
      <c r="F26">
        <f t="shared" si="20"/>
        <v>0.56483925530427992</v>
      </c>
      <c r="H26">
        <v>0.16578000000000001</v>
      </c>
      <c r="I26">
        <f t="shared" si="41"/>
        <v>7.4767766289184313E-3</v>
      </c>
      <c r="J26">
        <f t="shared" si="42"/>
        <v>2.2430329886755293E-2</v>
      </c>
      <c r="K26">
        <f t="shared" si="5"/>
        <v>3.7998456863729011</v>
      </c>
      <c r="L26">
        <f t="shared" si="21"/>
        <v>0.55290077272998317</v>
      </c>
      <c r="N26">
        <v>0.16569</v>
      </c>
      <c r="O26">
        <f t="shared" si="43"/>
        <v>7.4738224191695391E-3</v>
      </c>
      <c r="P26">
        <f t="shared" si="44"/>
        <v>2.2421467257508616E-2</v>
      </c>
      <c r="Q26">
        <f t="shared" si="8"/>
        <v>3.798344298578654</v>
      </c>
      <c r="R26">
        <f t="shared" si="22"/>
        <v>0.67463703708807166</v>
      </c>
      <c r="S26" s="3">
        <f t="shared" si="9"/>
        <v>0.59745902170744491</v>
      </c>
      <c r="T26">
        <v>0.13986999999999999</v>
      </c>
      <c r="U26">
        <f t="shared" si="45"/>
        <v>6.6262924667651402E-3</v>
      </c>
      <c r="V26">
        <f t="shared" si="46"/>
        <v>1.9878877400295418E-2</v>
      </c>
      <c r="W26">
        <f t="shared" si="12"/>
        <v>3.3676128224958179</v>
      </c>
      <c r="X26">
        <f t="shared" si="23"/>
        <v>0.53887852515096724</v>
      </c>
      <c r="Z26">
        <v>8.2100000000000006E-2</v>
      </c>
      <c r="AA26">
        <f t="shared" si="47"/>
        <v>4.7300180535040214E-3</v>
      </c>
      <c r="AB26">
        <f t="shared" si="48"/>
        <v>1.4190054160512063E-2</v>
      </c>
      <c r="AC26">
        <f t="shared" si="15"/>
        <v>2.40388867945533</v>
      </c>
      <c r="AD26">
        <f t="shared" si="24"/>
        <v>0.56020653001212006</v>
      </c>
      <c r="AF26">
        <v>0.16153999999999999</v>
      </c>
      <c r="AG26">
        <f t="shared" si="49"/>
        <v>7.3376005251928438E-3</v>
      </c>
      <c r="AH26">
        <f t="shared" si="50"/>
        <v>2.2012801575578528E-2</v>
      </c>
      <c r="AI26">
        <f t="shared" si="25"/>
        <v>3.7291136391772683</v>
      </c>
      <c r="AJ26">
        <f t="shared" si="26"/>
        <v>0.58525506242522163</v>
      </c>
      <c r="AK26" s="3">
        <f t="shared" si="18"/>
        <v>0.56144670586276968</v>
      </c>
      <c r="AL26">
        <v>24</v>
      </c>
      <c r="AM26">
        <f t="shared" si="19"/>
        <v>4.722366482869657E-3</v>
      </c>
    </row>
    <row r="27" spans="1:39">
      <c r="A27">
        <v>860</v>
      </c>
      <c r="B27">
        <v>0.14027899999999999</v>
      </c>
      <c r="C27">
        <f t="shared" si="39"/>
        <v>6.6397177088462168E-3</v>
      </c>
      <c r="D27">
        <f t="shared" si="40"/>
        <v>1.991915312653865E-2</v>
      </c>
      <c r="E27">
        <f t="shared" si="2"/>
        <v>4.2180447448954252</v>
      </c>
      <c r="F27">
        <f t="shared" si="20"/>
        <v>0.70319497614287563</v>
      </c>
      <c r="H27">
        <v>0.15321000000000001</v>
      </c>
      <c r="I27">
        <f t="shared" si="41"/>
        <v>7.0641720006564919E-3</v>
      </c>
      <c r="J27">
        <f t="shared" si="42"/>
        <v>2.1192516001969475E-2</v>
      </c>
      <c r="K27">
        <f t="shared" si="5"/>
        <v>4.4876898222205206</v>
      </c>
      <c r="L27">
        <f t="shared" si="21"/>
        <v>0.6529862987269498</v>
      </c>
      <c r="N27">
        <v>0.15976000000000001</v>
      </c>
      <c r="O27">
        <f t="shared" si="43"/>
        <v>7.2791728212703109E-3</v>
      </c>
      <c r="P27">
        <f t="shared" si="44"/>
        <v>2.1837518463810931E-2</v>
      </c>
      <c r="Q27">
        <f t="shared" si="8"/>
        <v>4.6242744062804819</v>
      </c>
      <c r="R27">
        <f t="shared" si="22"/>
        <v>0.82133333339546521</v>
      </c>
      <c r="S27" s="3">
        <f t="shared" si="9"/>
        <v>0.72583820275509681</v>
      </c>
      <c r="T27">
        <v>0.1346</v>
      </c>
      <c r="U27">
        <f t="shared" si="45"/>
        <v>6.4533070736911211E-3</v>
      </c>
      <c r="V27">
        <f t="shared" si="46"/>
        <v>1.9359921221073363E-2</v>
      </c>
      <c r="W27">
        <f t="shared" si="12"/>
        <v>4.0996227826242011</v>
      </c>
      <c r="X27">
        <f t="shared" si="23"/>
        <v>0.65601326376306657</v>
      </c>
      <c r="Z27">
        <v>7.3200000000000001E-2</v>
      </c>
      <c r="AA27">
        <f t="shared" si="47"/>
        <v>4.43787953389135E-3</v>
      </c>
      <c r="AB27">
        <f t="shared" si="48"/>
        <v>1.3313638601674048E-2</v>
      </c>
      <c r="AC27">
        <f t="shared" si="15"/>
        <v>2.8192726358636406</v>
      </c>
      <c r="AD27">
        <f t="shared" si="24"/>
        <v>0.65700835233898858</v>
      </c>
      <c r="AF27">
        <v>0.15872</v>
      </c>
      <c r="AG27">
        <f t="shared" si="49"/>
        <v>7.2450352863942229E-3</v>
      </c>
      <c r="AH27">
        <f t="shared" si="50"/>
        <v>2.1735105859182664E-2</v>
      </c>
      <c r="AI27">
        <f t="shared" si="25"/>
        <v>4.6025876936969148</v>
      </c>
      <c r="AJ27">
        <f t="shared" si="26"/>
        <v>0.72233994686910019</v>
      </c>
      <c r="AK27" s="3">
        <f t="shared" si="18"/>
        <v>0.67845385432371852</v>
      </c>
      <c r="AL27">
        <v>25</v>
      </c>
      <c r="AM27">
        <f t="shared" si="19"/>
        <v>3.7778931862957259E-3</v>
      </c>
    </row>
    <row r="28" spans="1:39">
      <c r="A28">
        <v>956</v>
      </c>
      <c r="B28">
        <v>0.13017000000000001</v>
      </c>
      <c r="C28">
        <f t="shared" si="39"/>
        <v>6.3078943049400954E-3</v>
      </c>
      <c r="D28">
        <f t="shared" si="40"/>
        <v>1.8923682914820286E-2</v>
      </c>
      <c r="E28">
        <f t="shared" si="2"/>
        <v>5.0090571600768863</v>
      </c>
      <c r="F28">
        <f t="shared" si="20"/>
        <v>0.83506554415792311</v>
      </c>
      <c r="H28">
        <v>0.151674</v>
      </c>
      <c r="I28">
        <f t="shared" si="41"/>
        <v>7.0137534876087313E-3</v>
      </c>
      <c r="J28">
        <f t="shared" si="42"/>
        <v>2.104126046282619E-2</v>
      </c>
      <c r="K28">
        <f t="shared" si="5"/>
        <v>5.5695752699290644</v>
      </c>
      <c r="L28">
        <f t="shared" si="21"/>
        <v>0.81040724405337938</v>
      </c>
      <c r="N28">
        <v>0.14777999999999999</v>
      </c>
      <c r="O28">
        <f t="shared" si="43"/>
        <v>6.8859346791399966E-3</v>
      </c>
      <c r="P28">
        <f t="shared" si="44"/>
        <v>2.0657804037419986E-2</v>
      </c>
      <c r="Q28">
        <f t="shared" si="8"/>
        <v>5.4680751992554972</v>
      </c>
      <c r="R28">
        <f t="shared" si="22"/>
        <v>0.97120370377717269</v>
      </c>
      <c r="S28" s="3">
        <f t="shared" si="9"/>
        <v>0.87222549732949173</v>
      </c>
      <c r="T28">
        <v>0.13156000000000001</v>
      </c>
      <c r="U28">
        <f t="shared" si="45"/>
        <v>6.3535204332840966E-3</v>
      </c>
      <c r="V28">
        <f t="shared" si="46"/>
        <v>1.9060561299852289E-2</v>
      </c>
      <c r="W28">
        <f t="shared" si="12"/>
        <v>5.0452885669172192</v>
      </c>
      <c r="X28">
        <f t="shared" si="23"/>
        <v>0.8073367709434075</v>
      </c>
      <c r="Z28">
        <v>7.2150000000000006E-2</v>
      </c>
      <c r="AA28">
        <f t="shared" si="47"/>
        <v>4.4034137534876084E-3</v>
      </c>
      <c r="AB28">
        <f t="shared" si="48"/>
        <v>1.3210241260462824E-2</v>
      </c>
      <c r="AC28">
        <f t="shared" si="15"/>
        <v>3.4967217464969251</v>
      </c>
      <c r="AD28">
        <f t="shared" si="24"/>
        <v>0.81488230830506037</v>
      </c>
      <c r="AF28">
        <v>0.14566999999999999</v>
      </c>
      <c r="AG28">
        <f t="shared" si="49"/>
        <v>6.8166748728048579E-3</v>
      </c>
      <c r="AH28">
        <f t="shared" si="50"/>
        <v>2.045002461841457E-2</v>
      </c>
      <c r="AI28">
        <f t="shared" si="25"/>
        <v>5.4130764449870776</v>
      </c>
      <c r="AJ28">
        <f t="shared" si="26"/>
        <v>0.84953978324520896</v>
      </c>
      <c r="AK28" s="3">
        <f t="shared" si="18"/>
        <v>0.82391962083122561</v>
      </c>
      <c r="AL28">
        <v>26</v>
      </c>
      <c r="AM28">
        <f t="shared" si="19"/>
        <v>3.0223145490365813E-3</v>
      </c>
    </row>
    <row r="29" spans="1:39">
      <c r="A29">
        <v>980</v>
      </c>
      <c r="B29">
        <v>0.1221</v>
      </c>
      <c r="C29">
        <f t="shared" si="39"/>
        <v>6.0430001641227638E-3</v>
      </c>
      <c r="D29">
        <f t="shared" si="40"/>
        <v>1.8129000492368291E-2</v>
      </c>
      <c r="E29">
        <f t="shared" si="2"/>
        <v>5.9983830929005206</v>
      </c>
      <c r="F29">
        <f t="shared" si="20"/>
        <v>0.99999718139845961</v>
      </c>
      <c r="H29">
        <v>0.14893000000000001</v>
      </c>
      <c r="I29">
        <f t="shared" si="41"/>
        <v>6.9236829148202859E-3</v>
      </c>
      <c r="J29">
        <f t="shared" si="42"/>
        <v>2.0771048744460854E-2</v>
      </c>
      <c r="K29">
        <f t="shared" si="5"/>
        <v>6.8725635295247516</v>
      </c>
      <c r="L29">
        <f t="shared" si="21"/>
        <v>0.99999999993084843</v>
      </c>
      <c r="N29">
        <v>0.1108</v>
      </c>
      <c r="O29">
        <f t="shared" si="43"/>
        <v>5.6720827178729696E-3</v>
      </c>
      <c r="P29">
        <f t="shared" si="44"/>
        <v>1.7016248153618907E-2</v>
      </c>
      <c r="Q29">
        <f t="shared" si="8"/>
        <v>5.6302042284259102</v>
      </c>
      <c r="R29">
        <f t="shared" si="22"/>
        <v>1.0000000000756473</v>
      </c>
      <c r="S29" s="3">
        <f t="shared" si="9"/>
        <v>0.99999906046831855</v>
      </c>
      <c r="T29">
        <v>0.129801</v>
      </c>
      <c r="U29">
        <f t="shared" si="45"/>
        <v>6.2957820449696372E-3</v>
      </c>
      <c r="V29">
        <f t="shared" si="46"/>
        <v>1.888734613490891E-2</v>
      </c>
      <c r="W29">
        <f t="shared" si="12"/>
        <v>6.2492986181499877</v>
      </c>
      <c r="X29">
        <f t="shared" si="23"/>
        <v>1.0000000000240008</v>
      </c>
      <c r="Z29">
        <v>6.9699999999999998E-2</v>
      </c>
      <c r="AA29">
        <f t="shared" si="47"/>
        <v>4.32299359921221E-3</v>
      </c>
      <c r="AB29">
        <f t="shared" si="48"/>
        <v>1.296898079763663E-2</v>
      </c>
      <c r="AC29">
        <f t="shared" si="15"/>
        <v>4.2910757921509965</v>
      </c>
      <c r="AD29">
        <f t="shared" si="24"/>
        <v>1.0000000000351885</v>
      </c>
      <c r="AF29">
        <v>0.13356000000000001</v>
      </c>
      <c r="AG29">
        <f t="shared" si="49"/>
        <v>6.419169538815034E-3</v>
      </c>
      <c r="AH29">
        <f t="shared" si="50"/>
        <v>1.9257508616445099E-2</v>
      </c>
      <c r="AI29">
        <f t="shared" si="25"/>
        <v>6.3717751094384889</v>
      </c>
      <c r="AJ29">
        <f t="shared" si="26"/>
        <v>1.0000000000688174</v>
      </c>
      <c r="AK29" s="3">
        <f t="shared" si="18"/>
        <v>1.0000000000426688</v>
      </c>
      <c r="AL29">
        <v>27</v>
      </c>
      <c r="AM29">
        <f t="shared" si="19"/>
        <v>2.4178516392292649E-3</v>
      </c>
    </row>
    <row r="49" spans="2:37">
      <c r="B49" t="s">
        <v>24</v>
      </c>
      <c r="C49" t="s">
        <v>35</v>
      </c>
      <c r="D49" t="s">
        <v>23</v>
      </c>
      <c r="E49" t="s">
        <v>36</v>
      </c>
      <c r="G49" t="s">
        <v>37</v>
      </c>
      <c r="H49" t="s">
        <v>25</v>
      </c>
      <c r="I49" t="s">
        <v>38</v>
      </c>
      <c r="J49" t="s">
        <v>27</v>
      </c>
      <c r="K49" t="s">
        <v>39</v>
      </c>
      <c r="M49" t="s">
        <v>37</v>
      </c>
      <c r="N49" t="s">
        <v>29</v>
      </c>
      <c r="O49" t="s">
        <v>38</v>
      </c>
      <c r="P49" t="s">
        <v>30</v>
      </c>
      <c r="Q49" t="s">
        <v>39</v>
      </c>
      <c r="S49" s="3" t="s">
        <v>37</v>
      </c>
      <c r="T49" t="s">
        <v>31</v>
      </c>
      <c r="U49" t="s">
        <v>38</v>
      </c>
      <c r="V49" t="s">
        <v>27</v>
      </c>
      <c r="W49" t="s">
        <v>39</v>
      </c>
      <c r="Y49" t="s">
        <v>37</v>
      </c>
      <c r="Z49" t="s">
        <v>32</v>
      </c>
      <c r="AA49" t="s">
        <v>38</v>
      </c>
      <c r="AB49" t="s">
        <v>27</v>
      </c>
      <c r="AC49" t="s">
        <v>39</v>
      </c>
      <c r="AE49" t="s">
        <v>37</v>
      </c>
      <c r="AF49" t="s">
        <v>33</v>
      </c>
      <c r="AG49" t="s">
        <v>38</v>
      </c>
      <c r="AH49" t="s">
        <v>27</v>
      </c>
      <c r="AI49" t="s">
        <v>39</v>
      </c>
      <c r="AK49" s="3" t="s">
        <v>45</v>
      </c>
    </row>
    <row r="50" spans="2:37">
      <c r="C50">
        <v>5.8615828882863201E-3</v>
      </c>
      <c r="D50">
        <v>0.5</v>
      </c>
      <c r="E50">
        <f>F$50*(D50^F$51)</f>
        <v>2.1037988182315582E-4</v>
      </c>
      <c r="F50">
        <v>4.3816523141116808E-4</v>
      </c>
      <c r="G50">
        <f>(C50-E50)^2</f>
        <v>3.1936095420258311E-5</v>
      </c>
      <c r="I50">
        <v>6.8891555561409225E-3</v>
      </c>
      <c r="J50">
        <v>0.5</v>
      </c>
      <c r="K50">
        <f>L$50*(J50^L$51)</f>
        <v>6.3243216038854234E-4</v>
      </c>
      <c r="L50">
        <v>1.1800484046302349E-3</v>
      </c>
      <c r="M50">
        <f>(I50-K50)^2</f>
        <v>3.9146587650955194E-5</v>
      </c>
      <c r="O50">
        <v>8.0621290016423541E-3</v>
      </c>
      <c r="P50">
        <v>0.5</v>
      </c>
      <c r="Q50">
        <f>R$50*(P50^R$51)</f>
        <v>3.9384544894943115E-3</v>
      </c>
      <c r="R50">
        <v>6.2152422533250885E-3</v>
      </c>
      <c r="S50" s="3">
        <f>(O50-Q50)^2</f>
        <v>1.7004691482139399E-5</v>
      </c>
      <c r="U50">
        <v>8.5256413751354735E-3</v>
      </c>
      <c r="V50">
        <v>0.5</v>
      </c>
      <c r="W50">
        <f>X$50*(V50^X$51)</f>
        <v>1.5332851672428228E-3</v>
      </c>
      <c r="X50">
        <v>2.6202088392461532E-3</v>
      </c>
      <c r="Y50">
        <f>(U50-W50)^2</f>
        <v>4.8893045338054892E-5</v>
      </c>
      <c r="AA50">
        <v>1.0700875279159829E-2</v>
      </c>
      <c r="AB50">
        <v>0.5</v>
      </c>
      <c r="AC50">
        <f>AD$50*(AB50^AD$51)</f>
        <v>1.2687247933924183E-3</v>
      </c>
      <c r="AD50">
        <v>2.2079217923833393E-3</v>
      </c>
      <c r="AE50">
        <f>(AA50-AC50)^2</f>
        <v>8.8965462786162405E-5</v>
      </c>
      <c r="AG50">
        <v>7.2204201135562624E-3</v>
      </c>
      <c r="AH50">
        <v>0.5</v>
      </c>
      <c r="AI50">
        <f>AJ$50*(AH50^AJ$51)</f>
        <v>2.015954132516115E-4</v>
      </c>
      <c r="AJ50">
        <v>4.212135418043795E-4</v>
      </c>
      <c r="AK50" s="3">
        <f>(AG50-AI50)^2</f>
        <v>4.9263900173606675E-5</v>
      </c>
    </row>
    <row r="51" spans="2:37">
      <c r="C51">
        <v>1.5679956801872917E-2</v>
      </c>
      <c r="D51">
        <v>1</v>
      </c>
      <c r="E51">
        <f t="shared" ref="E51:E73" si="51">F$50*(D51^F$51)</f>
        <v>4.3816523141116808E-4</v>
      </c>
      <c r="F51">
        <v>1.0584782610391579</v>
      </c>
      <c r="G51">
        <f t="shared" ref="G51:G73" si="52">(C51-E51)^2</f>
        <v>2.323122102773988E-4</v>
      </c>
      <c r="I51">
        <v>9.8114535026297238E-3</v>
      </c>
      <c r="J51">
        <v>1</v>
      </c>
      <c r="K51">
        <f t="shared" ref="K51:K73" si="53">L$50*(J51^L$51)</f>
        <v>1.1800484046302349E-3</v>
      </c>
      <c r="L51">
        <v>0.89986340049883284</v>
      </c>
      <c r="M51">
        <f t="shared" ref="M51:M73" si="54">(I51-K51)^2</f>
        <v>7.4501153965771566E-5</v>
      </c>
      <c r="O51">
        <v>1.4279692909813169E-2</v>
      </c>
      <c r="P51">
        <v>1</v>
      </c>
      <c r="Q51">
        <f t="shared" ref="Q51:Q72" si="55">R$50*(P51^R$51)</f>
        <v>6.2152422533250885E-3</v>
      </c>
      <c r="R51">
        <v>0.65818101985548771</v>
      </c>
      <c r="S51" s="3">
        <f t="shared" ref="S51:S72" si="56">(O51-Q51)^2</f>
        <v>6.503536439093102E-5</v>
      </c>
      <c r="U51">
        <v>1.4349222299583899E-2</v>
      </c>
      <c r="V51">
        <v>1</v>
      </c>
      <c r="W51">
        <f t="shared" ref="W51:W73" si="57">X$50*(V51^X$51)</f>
        <v>2.6202088392461532E-3</v>
      </c>
      <c r="X51">
        <v>0.77305576303953438</v>
      </c>
      <c r="Y51">
        <f t="shared" ref="Y51:Y73" si="58">(U51-W51)^2</f>
        <v>1.3756975675278406E-4</v>
      </c>
      <c r="AA51">
        <v>2.0289323088542099E-2</v>
      </c>
      <c r="AB51">
        <v>1</v>
      </c>
      <c r="AC51">
        <f t="shared" ref="AC51:AC73" si="59">AD$50*(AB51^AD$51)</f>
        <v>2.2079217923833393E-3</v>
      </c>
      <c r="AD51">
        <v>0.79930991119380868</v>
      </c>
      <c r="AE51">
        <f t="shared" ref="AE51:AE73" si="60">(AA51-AC51)^2</f>
        <v>3.2693707283273173E-4</v>
      </c>
      <c r="AG51">
        <v>1.3312263217710885E-2</v>
      </c>
      <c r="AH51">
        <v>1</v>
      </c>
      <c r="AI51">
        <f t="shared" ref="AI51:AI73" si="61">AJ$50*(AH51^AJ$51)</f>
        <v>4.212135418043795E-4</v>
      </c>
      <c r="AJ51">
        <v>1.0630890043730321</v>
      </c>
      <c r="AK51" s="3">
        <f t="shared" ref="AK51:AK72" si="62">(AG51-AI51)^2</f>
        <v>1.6617916174668923E-4</v>
      </c>
    </row>
    <row r="52" spans="2:37">
      <c r="C52">
        <v>2.9937307916938029E-2</v>
      </c>
      <c r="D52">
        <v>2</v>
      </c>
      <c r="E52">
        <f t="shared" si="51"/>
        <v>9.1258141393475635E-4</v>
      </c>
      <c r="G52">
        <f t="shared" si="52"/>
        <v>8.4243474857414048E-4</v>
      </c>
      <c r="I52">
        <v>2.1454718628080648E-2</v>
      </c>
      <c r="J52">
        <v>2</v>
      </c>
      <c r="K52">
        <f t="shared" si="53"/>
        <v>2.2018396983715287E-3</v>
      </c>
      <c r="M52">
        <f t="shared" si="54"/>
        <v>3.7067334708203739E-4</v>
      </c>
      <c r="O52">
        <v>2.5809044599302517E-2</v>
      </c>
      <c r="P52">
        <v>2</v>
      </c>
      <c r="Q52">
        <f t="shared" si="55"/>
        <v>9.808222075578037E-3</v>
      </c>
      <c r="S52" s="3">
        <f t="shared" si="56"/>
        <v>2.5602632143572858E-4</v>
      </c>
      <c r="U52">
        <v>2.4293715928276314E-2</v>
      </c>
      <c r="V52">
        <v>2</v>
      </c>
      <c r="W52">
        <f t="shared" si="57"/>
        <v>4.477636977085816E-3</v>
      </c>
      <c r="Y52">
        <f t="shared" si="58"/>
        <v>3.9267698499981512E-4</v>
      </c>
      <c r="AA52">
        <v>2.9845571314767453E-2</v>
      </c>
      <c r="AB52">
        <v>2</v>
      </c>
      <c r="AC52">
        <f t="shared" si="59"/>
        <v>3.8423767444839703E-3</v>
      </c>
      <c r="AE52">
        <f t="shared" si="60"/>
        <v>6.7616612786002049E-4</v>
      </c>
      <c r="AG52">
        <v>2.2493783898014964E-2</v>
      </c>
      <c r="AH52">
        <v>2</v>
      </c>
      <c r="AI52">
        <f t="shared" si="61"/>
        <v>8.8008375258989918E-4</v>
      </c>
      <c r="AK52" s="3">
        <f t="shared" si="62"/>
        <v>4.6715203397634743E-4</v>
      </c>
    </row>
    <row r="53" spans="2:37">
      <c r="C53">
        <v>4.2506950031579074E-2</v>
      </c>
      <c r="D53">
        <v>3</v>
      </c>
      <c r="E53">
        <f t="shared" si="51"/>
        <v>1.4017171570538754E-3</v>
      </c>
      <c r="G53">
        <f t="shared" si="52"/>
        <v>1.6896401696689474E-3</v>
      </c>
      <c r="I53">
        <v>3.2380494350178333E-2</v>
      </c>
      <c r="J53">
        <v>3</v>
      </c>
      <c r="K53">
        <f t="shared" si="53"/>
        <v>3.1713470940259846E-3</v>
      </c>
      <c r="M53">
        <f t="shared" si="54"/>
        <v>8.5317428343159216E-4</v>
      </c>
      <c r="O53">
        <v>3.5568055427776621E-2</v>
      </c>
      <c r="P53">
        <v>3</v>
      </c>
      <c r="Q53">
        <f t="shared" si="55"/>
        <v>1.2808262360520845E-2</v>
      </c>
      <c r="S53" s="3">
        <f t="shared" si="56"/>
        <v>5.1800818046430412E-4</v>
      </c>
      <c r="U53">
        <v>3.6422415773941674E-2</v>
      </c>
      <c r="V53">
        <v>3</v>
      </c>
      <c r="W53">
        <f t="shared" si="57"/>
        <v>6.1260035342291666E-3</v>
      </c>
      <c r="Y53">
        <f t="shared" si="58"/>
        <v>9.1787259459860193E-4</v>
      </c>
      <c r="AA53">
        <v>5.3043703628974502E-2</v>
      </c>
      <c r="AB53">
        <v>3</v>
      </c>
      <c r="AC53">
        <f t="shared" si="59"/>
        <v>5.3131421304646979E-3</v>
      </c>
      <c r="AE53">
        <f t="shared" si="60"/>
        <v>2.2782065009630268E-3</v>
      </c>
      <c r="AG53">
        <v>3.4048561777993661E-2</v>
      </c>
      <c r="AH53">
        <v>3</v>
      </c>
      <c r="AI53">
        <f t="shared" si="61"/>
        <v>1.3543305801230854E-3</v>
      </c>
      <c r="AK53" s="3">
        <f t="shared" si="62"/>
        <v>1.0689127536198139E-3</v>
      </c>
    </row>
    <row r="54" spans="2:37">
      <c r="C54">
        <v>4.8408288308196788E-2</v>
      </c>
      <c r="D54">
        <v>4</v>
      </c>
      <c r="E54">
        <f t="shared" si="51"/>
        <v>1.9006638988150718E-3</v>
      </c>
      <c r="G54">
        <f t="shared" si="52"/>
        <v>2.1629591282041178E-3</v>
      </c>
      <c r="I54">
        <v>4.0302458343244078E-2</v>
      </c>
      <c r="J54">
        <v>4</v>
      </c>
      <c r="K54">
        <f t="shared" si="53"/>
        <v>4.108389145989281E-3</v>
      </c>
      <c r="M54">
        <f t="shared" si="54"/>
        <v>1.3100106450556685E-3</v>
      </c>
      <c r="O54">
        <v>4.3887878612020738E-2</v>
      </c>
      <c r="P54">
        <v>4</v>
      </c>
      <c r="Q54">
        <f t="shared" si="55"/>
        <v>1.5478273631633536E-2</v>
      </c>
      <c r="S54" s="3">
        <f t="shared" si="56"/>
        <v>8.0710565514164115E-4</v>
      </c>
      <c r="U54">
        <v>4.5520325599430117E-2</v>
      </c>
      <c r="V54">
        <v>4</v>
      </c>
      <c r="W54">
        <f t="shared" si="57"/>
        <v>7.6517690491932199E-3</v>
      </c>
      <c r="Y54">
        <f t="shared" si="58"/>
        <v>1.4340275751984896E-3</v>
      </c>
      <c r="AA54">
        <v>5.734038032772186E-2</v>
      </c>
      <c r="AB54">
        <v>4</v>
      </c>
      <c r="AC54">
        <f t="shared" si="59"/>
        <v>6.6867672113577886E-3</v>
      </c>
      <c r="AE54">
        <f t="shared" si="60"/>
        <v>2.5657885217422903E-3</v>
      </c>
      <c r="AG54">
        <v>4.1772121835568235E-2</v>
      </c>
      <c r="AH54">
        <v>4</v>
      </c>
      <c r="AI54">
        <f t="shared" si="61"/>
        <v>1.838847365293007E-3</v>
      </c>
      <c r="AK54" s="3">
        <f t="shared" si="62"/>
        <v>1.5946664099183352E-3</v>
      </c>
    </row>
    <row r="55" spans="2:37">
      <c r="C55">
        <v>6.9383008857035244E-2</v>
      </c>
      <c r="D55">
        <v>26</v>
      </c>
      <c r="E55">
        <f t="shared" si="51"/>
        <v>1.3783402608303611E-2</v>
      </c>
      <c r="G55">
        <f t="shared" si="52"/>
        <v>3.0913162150139977E-3</v>
      </c>
      <c r="I55">
        <v>7.3947017733117834E-2</v>
      </c>
      <c r="J55">
        <v>26</v>
      </c>
      <c r="K55">
        <f t="shared" si="53"/>
        <v>2.2140251535879889E-2</v>
      </c>
      <c r="M55">
        <f t="shared" si="54"/>
        <v>2.6839410238152762E-3</v>
      </c>
      <c r="O55">
        <v>0.10128362042741772</v>
      </c>
      <c r="P55">
        <v>26</v>
      </c>
      <c r="Q55">
        <f t="shared" si="55"/>
        <v>5.3059928713375906E-2</v>
      </c>
      <c r="S55" s="3">
        <f t="shared" si="56"/>
        <v>2.3255244425309449E-3</v>
      </c>
      <c r="U55">
        <v>9.5678761703894055E-2</v>
      </c>
      <c r="V55">
        <v>26</v>
      </c>
      <c r="W55">
        <f t="shared" si="57"/>
        <v>3.2522895866129067E-2</v>
      </c>
      <c r="Y55">
        <f t="shared" si="58"/>
        <v>3.988663389717771E-3</v>
      </c>
      <c r="AA55">
        <v>9.0787534854954124E-2</v>
      </c>
      <c r="AB55">
        <v>26</v>
      </c>
      <c r="AC55">
        <f t="shared" si="59"/>
        <v>2.9852857447398479E-2</v>
      </c>
      <c r="AE55">
        <f t="shared" si="60"/>
        <v>3.7130349107628727E-3</v>
      </c>
      <c r="AG55">
        <v>8.1324710596457295E-2</v>
      </c>
      <c r="AH55">
        <v>26</v>
      </c>
      <c r="AI55">
        <f t="shared" si="61"/>
        <v>1.3450701435819546E-2</v>
      </c>
      <c r="AK55" s="3">
        <f t="shared" si="62"/>
        <v>4.6068811195383377E-3</v>
      </c>
    </row>
    <row r="56" spans="2:37">
      <c r="C56">
        <v>7.0263823373944573E-2</v>
      </c>
      <c r="D56">
        <v>29</v>
      </c>
      <c r="E56">
        <f t="shared" si="51"/>
        <v>1.547228308973962E-2</v>
      </c>
      <c r="G56">
        <f t="shared" si="52"/>
        <v>3.002112886715654E-3</v>
      </c>
      <c r="I56">
        <v>7.3947017733117834E-2</v>
      </c>
      <c r="J56">
        <v>29</v>
      </c>
      <c r="K56">
        <f t="shared" si="53"/>
        <v>2.4426332093698044E-2</v>
      </c>
      <c r="M56">
        <f t="shared" si="54"/>
        <v>2.4522983061982372E-3</v>
      </c>
      <c r="O56">
        <v>0.10128362042741772</v>
      </c>
      <c r="P56">
        <v>29</v>
      </c>
      <c r="Q56">
        <f t="shared" si="55"/>
        <v>5.7013889098788073E-2</v>
      </c>
      <c r="S56" s="3">
        <f t="shared" si="56"/>
        <v>1.9598091119090531E-3</v>
      </c>
      <c r="U56">
        <v>9.5678761703894055E-2</v>
      </c>
      <c r="V56">
        <v>29</v>
      </c>
      <c r="W56">
        <f t="shared" si="57"/>
        <v>3.5387599829138784E-2</v>
      </c>
      <c r="Y56">
        <f t="shared" si="58"/>
        <v>3.6350242002079437E-3</v>
      </c>
      <c r="AA56">
        <v>9.1537765477188601E-2</v>
      </c>
      <c r="AB56">
        <v>29</v>
      </c>
      <c r="AC56">
        <f t="shared" si="59"/>
        <v>3.2575635723295256E-2</v>
      </c>
      <c r="AE56">
        <f t="shared" si="60"/>
        <v>3.476532745114955E-3</v>
      </c>
      <c r="AG56">
        <v>8.1324710596457295E-2</v>
      </c>
      <c r="AH56">
        <v>29</v>
      </c>
      <c r="AI56">
        <f t="shared" si="61"/>
        <v>1.5106420054335372E-2</v>
      </c>
      <c r="AK56" s="3">
        <f t="shared" si="62"/>
        <v>4.3848620023208724E-3</v>
      </c>
    </row>
    <row r="57" spans="2:37">
      <c r="C57">
        <v>8.2143860053218984E-2</v>
      </c>
      <c r="D57">
        <v>47.5</v>
      </c>
      <c r="E57">
        <f t="shared" si="51"/>
        <v>2.6084447925472546E-2</v>
      </c>
      <c r="G57">
        <f t="shared" si="52"/>
        <v>3.1426576881085247E-3</v>
      </c>
      <c r="I57">
        <v>8.2958640947045997E-2</v>
      </c>
      <c r="J57">
        <v>47.5</v>
      </c>
      <c r="K57">
        <f t="shared" si="53"/>
        <v>3.8079833010808604E-2</v>
      </c>
      <c r="M57">
        <f t="shared" si="54"/>
        <v>2.0141074017776843E-3</v>
      </c>
      <c r="O57">
        <v>0.10141439161660752</v>
      </c>
      <c r="P57">
        <v>47.5</v>
      </c>
      <c r="Q57">
        <f t="shared" si="55"/>
        <v>7.8890729302644416E-2</v>
      </c>
      <c r="S57" s="3">
        <f t="shared" si="56"/>
        <v>5.0731536403344178E-4</v>
      </c>
      <c r="U57">
        <v>9.5678761703894055E-2</v>
      </c>
      <c r="V57">
        <v>47.5</v>
      </c>
      <c r="W57">
        <f t="shared" si="57"/>
        <v>5.182192783086656E-2</v>
      </c>
      <c r="Y57">
        <f t="shared" si="58"/>
        <v>1.923421877366332E-3</v>
      </c>
      <c r="AA57">
        <v>9.2082711290888672E-2</v>
      </c>
      <c r="AB57">
        <v>47.5</v>
      </c>
      <c r="AC57">
        <f t="shared" si="59"/>
        <v>4.8326073071054701E-2</v>
      </c>
      <c r="AE57">
        <f t="shared" si="60"/>
        <v>1.914643388301435E-3</v>
      </c>
      <c r="AG57">
        <v>8.3703637997251334E-2</v>
      </c>
      <c r="AH57">
        <v>47.5</v>
      </c>
      <c r="AI57">
        <f t="shared" si="61"/>
        <v>2.5525653241769211E-2</v>
      </c>
      <c r="AK57" s="3">
        <f t="shared" si="62"/>
        <v>3.3846779102091103E-3</v>
      </c>
    </row>
    <row r="58" spans="2:37">
      <c r="C58">
        <v>8.2931885838580466E-2</v>
      </c>
      <c r="D58">
        <v>67</v>
      </c>
      <c r="E58">
        <f t="shared" si="51"/>
        <v>3.7540356697032054E-2</v>
      </c>
      <c r="G58">
        <f t="shared" si="52"/>
        <v>2.0603909178080388E-3</v>
      </c>
      <c r="I58">
        <v>9.4132982675665125E-2</v>
      </c>
      <c r="J58">
        <v>67</v>
      </c>
      <c r="K58">
        <f t="shared" si="53"/>
        <v>5.1894066450018428E-2</v>
      </c>
      <c r="M58">
        <f t="shared" si="54"/>
        <v>1.7841260439171998E-3</v>
      </c>
      <c r="O58">
        <v>0.12010641507143661</v>
      </c>
      <c r="P58">
        <v>67</v>
      </c>
      <c r="Q58">
        <f t="shared" si="55"/>
        <v>9.8934061168842499E-2</v>
      </c>
      <c r="S58" s="3">
        <f t="shared" si="56"/>
        <v>4.4826856977669228E-4</v>
      </c>
      <c r="U58">
        <v>0.11589546999915977</v>
      </c>
      <c r="V58">
        <v>67</v>
      </c>
      <c r="W58">
        <f t="shared" si="57"/>
        <v>6.7607294596688405E-2</v>
      </c>
      <c r="Y58">
        <f t="shared" si="58"/>
        <v>2.3317478836998406E-3</v>
      </c>
      <c r="AA58">
        <v>0.10402391850374454</v>
      </c>
      <c r="AB58">
        <v>67</v>
      </c>
      <c r="AC58">
        <f t="shared" si="59"/>
        <v>6.3618492577138044E-2</v>
      </c>
      <c r="AE58">
        <f t="shared" si="60"/>
        <v>1.6325984443104843E-3</v>
      </c>
      <c r="AG58">
        <v>9.0707599782714671E-2</v>
      </c>
      <c r="AH58">
        <v>67</v>
      </c>
      <c r="AI58">
        <f t="shared" si="61"/>
        <v>3.6794454531340698E-2</v>
      </c>
      <c r="AK58" s="3">
        <f t="shared" si="62"/>
        <v>2.906627230895748E-3</v>
      </c>
    </row>
    <row r="59" spans="2:37">
      <c r="C59">
        <v>9.1918674104794137E-2</v>
      </c>
      <c r="D59">
        <v>73.5</v>
      </c>
      <c r="E59">
        <f t="shared" si="51"/>
        <v>4.1405924931760353E-2</v>
      </c>
      <c r="G59">
        <f t="shared" si="52"/>
        <v>2.5515378290178253E-3</v>
      </c>
      <c r="I59">
        <v>9.9304232994129604E-2</v>
      </c>
      <c r="J59">
        <v>73.5</v>
      </c>
      <c r="K59">
        <f t="shared" si="53"/>
        <v>5.6403167431686094E-2</v>
      </c>
      <c r="M59">
        <f t="shared" si="54"/>
        <v>1.8405014263930765E-3</v>
      </c>
      <c r="O59">
        <v>0.13189578597187154</v>
      </c>
      <c r="P59">
        <v>73.5</v>
      </c>
      <c r="Q59">
        <f t="shared" si="55"/>
        <v>0.10515089295261412</v>
      </c>
      <c r="S59" s="3">
        <f t="shared" si="56"/>
        <v>7.152893026115243E-4</v>
      </c>
      <c r="U59">
        <v>0.12034386677199109</v>
      </c>
      <c r="V59">
        <v>73.5</v>
      </c>
      <c r="W59">
        <f t="shared" si="57"/>
        <v>7.2623987452121536E-2</v>
      </c>
      <c r="Y59">
        <f t="shared" si="58"/>
        <v>2.2771868823029139E-3</v>
      </c>
      <c r="AA59">
        <v>0.11268402940482057</v>
      </c>
      <c r="AB59">
        <v>73.5</v>
      </c>
      <c r="AC59">
        <f t="shared" si="59"/>
        <v>6.8505533572823143E-2</v>
      </c>
      <c r="AE59">
        <f t="shared" si="60"/>
        <v>1.951739493977814E-3</v>
      </c>
      <c r="AG59">
        <v>0.10371797311907209</v>
      </c>
      <c r="AH59">
        <v>73.5</v>
      </c>
      <c r="AI59">
        <f t="shared" si="61"/>
        <v>4.0600546020477052E-2</v>
      </c>
      <c r="AK59" s="3">
        <f t="shared" si="62"/>
        <v>3.983809603546459E-3</v>
      </c>
    </row>
    <row r="60" spans="2:37">
      <c r="C60">
        <v>0.10377544918268296</v>
      </c>
      <c r="D60">
        <v>113</v>
      </c>
      <c r="E60">
        <f t="shared" si="51"/>
        <v>6.5279499165548469E-2</v>
      </c>
      <c r="G60">
        <f t="shared" si="52"/>
        <v>1.4819381677217169E-3</v>
      </c>
      <c r="I60">
        <v>0.11200683719041959</v>
      </c>
      <c r="J60">
        <v>113</v>
      </c>
      <c r="K60">
        <f t="shared" si="53"/>
        <v>8.3059626092128108E-2</v>
      </c>
      <c r="M60">
        <f t="shared" si="54"/>
        <v>8.3794103036904976E-4</v>
      </c>
      <c r="O60">
        <v>0.14142162893442034</v>
      </c>
      <c r="P60">
        <v>113</v>
      </c>
      <c r="Q60">
        <f t="shared" si="55"/>
        <v>0.13955818886770902</v>
      </c>
      <c r="S60" s="3">
        <f t="shared" si="56"/>
        <v>3.4724088822251069E-6</v>
      </c>
      <c r="U60">
        <v>0.12034386677199109</v>
      </c>
      <c r="V60">
        <v>113</v>
      </c>
      <c r="W60">
        <f t="shared" si="57"/>
        <v>0.10126981814623909</v>
      </c>
      <c r="Y60">
        <f t="shared" si="58"/>
        <v>3.6381933097755182E-4</v>
      </c>
      <c r="AA60">
        <v>0.12390669533314</v>
      </c>
      <c r="AB60">
        <v>113</v>
      </c>
      <c r="AC60">
        <f t="shared" si="59"/>
        <v>9.6611680033093367E-2</v>
      </c>
      <c r="AE60">
        <f t="shared" si="60"/>
        <v>7.4501786022977971E-4</v>
      </c>
      <c r="AG60">
        <v>0.11266339641819827</v>
      </c>
      <c r="AH60">
        <v>113</v>
      </c>
      <c r="AI60">
        <f t="shared" si="61"/>
        <v>6.4136823000550958E-2</v>
      </c>
      <c r="AK60" s="3">
        <f t="shared" si="62"/>
        <v>2.3548283276583143E-3</v>
      </c>
    </row>
    <row r="61" spans="2:37">
      <c r="C61">
        <v>0.11925576480661912</v>
      </c>
      <c r="D61">
        <v>166</v>
      </c>
      <c r="E61">
        <f t="shared" si="51"/>
        <v>9.8078555626379252E-2</v>
      </c>
      <c r="G61">
        <f t="shared" si="52"/>
        <v>4.4847418866363569E-4</v>
      </c>
      <c r="I61">
        <v>0.13076749868265536</v>
      </c>
      <c r="J61">
        <v>166</v>
      </c>
      <c r="K61">
        <f t="shared" si="53"/>
        <v>0.11740695799400387</v>
      </c>
      <c r="M61">
        <f t="shared" si="54"/>
        <v>1.7850404749311197E-4</v>
      </c>
      <c r="O61">
        <v>0.17900660141340655</v>
      </c>
      <c r="P61">
        <v>166</v>
      </c>
      <c r="Q61">
        <f t="shared" si="55"/>
        <v>0.1797591751135646</v>
      </c>
      <c r="S61" s="3">
        <f t="shared" si="56"/>
        <v>5.6636717416957708E-7</v>
      </c>
      <c r="U61">
        <v>0.14499261056866394</v>
      </c>
      <c r="V61">
        <v>166</v>
      </c>
      <c r="W61">
        <f t="shared" si="57"/>
        <v>0.13633371196347618</v>
      </c>
      <c r="Y61">
        <f t="shared" si="58"/>
        <v>7.4976525054922522E-5</v>
      </c>
      <c r="AA61">
        <v>0.1242539974114778</v>
      </c>
      <c r="AB61">
        <v>166</v>
      </c>
      <c r="AC61">
        <f t="shared" si="59"/>
        <v>0.1313826703705801</v>
      </c>
      <c r="AE61">
        <f t="shared" si="60"/>
        <v>5.0817978157836343E-5</v>
      </c>
      <c r="AG61">
        <v>0.1203817926276213</v>
      </c>
      <c r="AH61">
        <v>166</v>
      </c>
      <c r="AI61">
        <f t="shared" si="61"/>
        <v>9.6532781911524063E-2</v>
      </c>
      <c r="AK61" s="3">
        <f t="shared" si="62"/>
        <v>5.6877531213652105E-4</v>
      </c>
    </row>
    <row r="62" spans="2:37">
      <c r="C62">
        <v>0.1199127226455978</v>
      </c>
      <c r="D62">
        <v>188</v>
      </c>
      <c r="E62">
        <f t="shared" si="51"/>
        <v>0.11188826996468958</v>
      </c>
      <c r="G62">
        <f t="shared" si="52"/>
        <v>6.4391840828135119E-5</v>
      </c>
      <c r="I62">
        <v>0.13365324104786988</v>
      </c>
      <c r="J62">
        <v>188</v>
      </c>
      <c r="K62">
        <f t="shared" si="53"/>
        <v>0.13132010992314203</v>
      </c>
      <c r="M62">
        <f t="shared" si="54"/>
        <v>5.4435008451738671E-6</v>
      </c>
      <c r="O62">
        <v>0.17900660141340655</v>
      </c>
      <c r="P62">
        <v>188</v>
      </c>
      <c r="Q62">
        <f t="shared" si="55"/>
        <v>0.19510373949740509</v>
      </c>
      <c r="S62" s="3">
        <f t="shared" si="56"/>
        <v>2.591178544953162E-4</v>
      </c>
      <c r="U62">
        <v>0.14499261056866394</v>
      </c>
      <c r="V62">
        <v>188</v>
      </c>
      <c r="W62">
        <f t="shared" si="57"/>
        <v>0.15010208982391979</v>
      </c>
      <c r="Y62">
        <f t="shared" si="58"/>
        <v>2.6106778259889819E-5</v>
      </c>
      <c r="AA62">
        <v>0.14875549114959888</v>
      </c>
      <c r="AB62">
        <v>188</v>
      </c>
      <c r="AC62">
        <f t="shared" si="59"/>
        <v>0.14512445258001011</v>
      </c>
      <c r="AE62">
        <f t="shared" si="60"/>
        <v>1.3184441093841248E-5</v>
      </c>
      <c r="AG62">
        <v>0.1295170273020608</v>
      </c>
      <c r="AH62">
        <v>188</v>
      </c>
      <c r="AI62">
        <f t="shared" si="61"/>
        <v>0.11018805797521637</v>
      </c>
      <c r="AK62" s="3">
        <f t="shared" si="62"/>
        <v>3.7360905523809275E-4</v>
      </c>
    </row>
    <row r="63" spans="2:37">
      <c r="C63">
        <v>0.14133552054029647</v>
      </c>
      <c r="D63">
        <v>237</v>
      </c>
      <c r="E63">
        <f t="shared" si="51"/>
        <v>0.14297411363875331</v>
      </c>
      <c r="G63">
        <f t="shared" si="52"/>
        <v>2.6849873423104119E-6</v>
      </c>
      <c r="I63">
        <v>0.1478838708474286</v>
      </c>
      <c r="J63">
        <v>237</v>
      </c>
      <c r="K63">
        <f t="shared" si="53"/>
        <v>0.16175173362351714</v>
      </c>
      <c r="M63">
        <f t="shared" si="54"/>
        <v>1.9231761797642202E-4</v>
      </c>
      <c r="O63">
        <v>0.18907400475599209</v>
      </c>
      <c r="P63">
        <v>237</v>
      </c>
      <c r="Q63">
        <f t="shared" si="55"/>
        <v>0.22723349549601046</v>
      </c>
      <c r="S63" s="3">
        <f t="shared" si="56"/>
        <v>1.4561467335375477E-3</v>
      </c>
      <c r="U63">
        <v>0.15626971170063328</v>
      </c>
      <c r="V63">
        <v>237</v>
      </c>
      <c r="W63">
        <f t="shared" si="57"/>
        <v>0.1795348660651693</v>
      </c>
      <c r="Y63">
        <f t="shared" si="58"/>
        <v>5.4126740760568955E-4</v>
      </c>
      <c r="AA63">
        <v>0.16148294351560877</v>
      </c>
      <c r="AB63">
        <v>237</v>
      </c>
      <c r="AC63">
        <f t="shared" si="59"/>
        <v>0.1746399408394419</v>
      </c>
      <c r="AE63">
        <f t="shared" si="60"/>
        <v>1.7310657857935217E-4</v>
      </c>
      <c r="AG63">
        <v>0.14491671204682308</v>
      </c>
      <c r="AH63">
        <v>237</v>
      </c>
      <c r="AI63">
        <f t="shared" si="61"/>
        <v>0.14095197966012912</v>
      </c>
      <c r="AK63" s="3">
        <f t="shared" si="62"/>
        <v>1.5719102898099932E-5</v>
      </c>
    </row>
    <row r="64" spans="2:37">
      <c r="C64">
        <v>0.16694567811548591</v>
      </c>
      <c r="D64">
        <v>276</v>
      </c>
      <c r="E64">
        <f t="shared" si="51"/>
        <v>0.16799142486141558</v>
      </c>
      <c r="G64">
        <f t="shared" si="52"/>
        <v>1.0935862566224842E-6</v>
      </c>
      <c r="I64">
        <v>0.16727831663423554</v>
      </c>
      <c r="J64">
        <v>276</v>
      </c>
      <c r="K64">
        <f t="shared" si="53"/>
        <v>0.18551736577437314</v>
      </c>
      <c r="M64">
        <f t="shared" si="54"/>
        <v>3.3266291353635426E-4</v>
      </c>
      <c r="O64">
        <v>0.21753213991571524</v>
      </c>
      <c r="P64">
        <v>276</v>
      </c>
      <c r="Q64">
        <f t="shared" si="55"/>
        <v>0.25119910628643116</v>
      </c>
      <c r="S64" s="3">
        <f t="shared" si="56"/>
        <v>1.1334646246069168E-3</v>
      </c>
      <c r="U64">
        <v>0.18019958616066012</v>
      </c>
      <c r="V64">
        <v>276</v>
      </c>
      <c r="W64">
        <f t="shared" si="57"/>
        <v>0.20197366226372696</v>
      </c>
      <c r="Y64">
        <f t="shared" si="58"/>
        <v>4.7411039014214626E-4</v>
      </c>
      <c r="AA64">
        <v>0.17349450277542944</v>
      </c>
      <c r="AB64">
        <v>276</v>
      </c>
      <c r="AC64">
        <f t="shared" si="59"/>
        <v>0.19725431287802223</v>
      </c>
      <c r="AE64">
        <f t="shared" si="60"/>
        <v>5.6452857611127025E-4</v>
      </c>
      <c r="AG64">
        <v>0.1595700265287642</v>
      </c>
      <c r="AH64">
        <v>276</v>
      </c>
      <c r="AI64">
        <f t="shared" si="61"/>
        <v>0.16573183193496999</v>
      </c>
      <c r="AK64" s="3">
        <f t="shared" si="62"/>
        <v>3.7967845863946822E-5</v>
      </c>
    </row>
    <row r="65" spans="3:37">
      <c r="C65">
        <v>0.17625413613226604</v>
      </c>
      <c r="D65">
        <v>305</v>
      </c>
      <c r="E65">
        <f t="shared" si="51"/>
        <v>0.18673051156545206</v>
      </c>
      <c r="G65">
        <f t="shared" si="52"/>
        <v>1.0975444221706367E-4</v>
      </c>
      <c r="I65">
        <v>0.18950281593582041</v>
      </c>
      <c r="J65">
        <v>305</v>
      </c>
      <c r="K65">
        <f t="shared" si="53"/>
        <v>0.2029692857196353</v>
      </c>
      <c r="M65">
        <f t="shared" si="54"/>
        <v>1.8134580843839925E-4</v>
      </c>
      <c r="O65">
        <v>0.25242874919835512</v>
      </c>
      <c r="P65">
        <v>305</v>
      </c>
      <c r="Q65">
        <f t="shared" si="55"/>
        <v>0.26827305990177797</v>
      </c>
      <c r="S65" s="3">
        <f t="shared" si="56"/>
        <v>2.5104218166659983E-4</v>
      </c>
      <c r="U65">
        <v>0.19356362744466962</v>
      </c>
      <c r="V65">
        <v>305</v>
      </c>
      <c r="W65">
        <f t="shared" si="57"/>
        <v>0.21819169462002075</v>
      </c>
      <c r="Y65">
        <f t="shared" si="58"/>
        <v>6.0654169279360758E-4</v>
      </c>
      <c r="AA65">
        <v>0.1874523311942046</v>
      </c>
      <c r="AB65">
        <v>305</v>
      </c>
      <c r="AC65">
        <f t="shared" si="59"/>
        <v>0.21365308592781457</v>
      </c>
      <c r="AE65">
        <f t="shared" si="60"/>
        <v>6.8647954861078531E-4</v>
      </c>
      <c r="AG65">
        <v>0.16241196132187441</v>
      </c>
      <c r="AH65">
        <v>305</v>
      </c>
      <c r="AI65">
        <f t="shared" si="61"/>
        <v>0.18430374831579691</v>
      </c>
      <c r="AK65" s="3">
        <f t="shared" si="62"/>
        <v>4.7925033778727419E-4</v>
      </c>
    </row>
    <row r="66" spans="3:37">
      <c r="C66">
        <v>0.18027846948538531</v>
      </c>
      <c r="D66">
        <v>376</v>
      </c>
      <c r="E66">
        <f t="shared" si="51"/>
        <v>0.23303345013989529</v>
      </c>
      <c r="G66">
        <f t="shared" si="52"/>
        <v>2.7830879838577223E-3</v>
      </c>
      <c r="I66">
        <v>0.21403060250774272</v>
      </c>
      <c r="J66">
        <v>376</v>
      </c>
      <c r="K66">
        <f t="shared" si="53"/>
        <v>0.24502878872489151</v>
      </c>
      <c r="M66">
        <f t="shared" si="54"/>
        <v>9.6088754875303271E-4</v>
      </c>
      <c r="O66">
        <v>0.27042386680564229</v>
      </c>
      <c r="P66">
        <v>376</v>
      </c>
      <c r="Q66">
        <f t="shared" si="55"/>
        <v>0.30789158761148983</v>
      </c>
      <c r="S66" s="3">
        <f t="shared" si="56"/>
        <v>1.4038301023849404E-3</v>
      </c>
      <c r="U66">
        <v>0.2078054676870123</v>
      </c>
      <c r="V66">
        <v>376</v>
      </c>
      <c r="W66">
        <f t="shared" si="57"/>
        <v>0.25650728967344738</v>
      </c>
      <c r="Y66">
        <f t="shared" si="58"/>
        <v>2.3718674647984113E-3</v>
      </c>
      <c r="AA66">
        <v>0.21572671726681686</v>
      </c>
      <c r="AB66">
        <v>376</v>
      </c>
      <c r="AC66">
        <f t="shared" si="59"/>
        <v>0.25255551332163451</v>
      </c>
      <c r="AE66">
        <f t="shared" si="60"/>
        <v>1.3563602188473519E-3</v>
      </c>
      <c r="AG66">
        <v>0.19206120375385963</v>
      </c>
      <c r="AH66">
        <v>376</v>
      </c>
      <c r="AI66">
        <f t="shared" si="61"/>
        <v>0.23022697498756806</v>
      </c>
      <c r="AK66" s="3">
        <f t="shared" si="62"/>
        <v>1.4566260938637659E-3</v>
      </c>
    </row>
    <row r="67" spans="3:37">
      <c r="C67">
        <v>0.22221318949832347</v>
      </c>
      <c r="D67">
        <v>408.5</v>
      </c>
      <c r="E67">
        <f t="shared" si="51"/>
        <v>0.25440634873706358</v>
      </c>
      <c r="G67">
        <f t="shared" si="52"/>
        <v>1.0363995017708778E-3</v>
      </c>
      <c r="I67">
        <v>0.23934953958047156</v>
      </c>
      <c r="J67">
        <v>408.5</v>
      </c>
      <c r="K67">
        <f t="shared" si="53"/>
        <v>0.26400733265874415</v>
      </c>
      <c r="M67">
        <f t="shared" si="54"/>
        <v>6.080067594909079E-4</v>
      </c>
      <c r="O67">
        <v>0.33880655647007452</v>
      </c>
      <c r="P67">
        <v>408.5</v>
      </c>
      <c r="Q67">
        <f t="shared" si="55"/>
        <v>0.32515850237010885</v>
      </c>
      <c r="S67" s="3">
        <f t="shared" si="56"/>
        <v>1.8626938071558967E-4</v>
      </c>
      <c r="U67">
        <v>0.22931658055305068</v>
      </c>
      <c r="V67">
        <v>408.5</v>
      </c>
      <c r="W67">
        <f t="shared" si="57"/>
        <v>0.27348466445038078</v>
      </c>
      <c r="Y67">
        <f t="shared" si="58"/>
        <v>1.9508196351615901E-3</v>
      </c>
      <c r="AA67">
        <v>0.22981091621157976</v>
      </c>
      <c r="AB67">
        <v>408.5</v>
      </c>
      <c r="AC67">
        <f t="shared" si="59"/>
        <v>0.26985805154802966</v>
      </c>
      <c r="AE67">
        <f t="shared" si="60"/>
        <v>1.6037730486559349E-3</v>
      </c>
      <c r="AG67">
        <v>0.21880042794714993</v>
      </c>
      <c r="AH67">
        <v>408.5</v>
      </c>
      <c r="AI67">
        <f t="shared" si="61"/>
        <v>0.25143856724324876</v>
      </c>
      <c r="AK67" s="3">
        <f t="shared" si="62"/>
        <v>1.06524813671155E-3</v>
      </c>
    </row>
    <row r="68" spans="3:37">
      <c r="C68">
        <v>0.23657539367521649</v>
      </c>
      <c r="D68">
        <v>452</v>
      </c>
      <c r="E68">
        <f t="shared" si="51"/>
        <v>0.28316803457245787</v>
      </c>
      <c r="G68">
        <f t="shared" si="52"/>
        <v>2.1708741857792901E-3</v>
      </c>
      <c r="I68">
        <v>0.26601905327890707</v>
      </c>
      <c r="J68">
        <v>452</v>
      </c>
      <c r="K68">
        <f t="shared" si="53"/>
        <v>0.28917565158164382</v>
      </c>
      <c r="M68">
        <f t="shared" si="54"/>
        <v>5.362280449543107E-4</v>
      </c>
      <c r="O68">
        <v>0.33880655647007452</v>
      </c>
      <c r="P68">
        <v>452</v>
      </c>
      <c r="Q68">
        <f t="shared" si="55"/>
        <v>0.34755199343580745</v>
      </c>
      <c r="S68" s="3">
        <f t="shared" si="56"/>
        <v>7.6482667721608058E-5</v>
      </c>
      <c r="U68">
        <v>0.24037304064685044</v>
      </c>
      <c r="V68">
        <v>452</v>
      </c>
      <c r="W68">
        <f t="shared" si="57"/>
        <v>0.29573721319547891</v>
      </c>
      <c r="Y68">
        <f t="shared" si="58"/>
        <v>3.0651916019943056E-3</v>
      </c>
      <c r="AA68">
        <v>0.25681752055573431</v>
      </c>
      <c r="AB68">
        <v>452</v>
      </c>
      <c r="AC68">
        <f t="shared" si="59"/>
        <v>0.29259180126218731</v>
      </c>
      <c r="AE68">
        <f t="shared" si="60"/>
        <v>1.2797991600640953E-3</v>
      </c>
      <c r="AG68">
        <v>0.21880042794714993</v>
      </c>
      <c r="AH68">
        <v>452</v>
      </c>
      <c r="AI68">
        <f t="shared" si="61"/>
        <v>0.27999533796470366</v>
      </c>
      <c r="AK68" s="3">
        <f t="shared" si="62"/>
        <v>3.7448170120564974E-3</v>
      </c>
    </row>
    <row r="69" spans="3:37">
      <c r="C69">
        <v>0.28546703416318009</v>
      </c>
      <c r="D69">
        <v>500</v>
      </c>
      <c r="E69">
        <f t="shared" si="51"/>
        <v>0.31509317034966167</v>
      </c>
      <c r="G69">
        <f t="shared" si="52"/>
        <v>8.7770794533995316E-4</v>
      </c>
      <c r="I69">
        <v>0.27386361274358995</v>
      </c>
      <c r="J69">
        <v>500</v>
      </c>
      <c r="K69">
        <f t="shared" si="53"/>
        <v>0.31666797728830942</v>
      </c>
      <c r="M69">
        <f t="shared" si="54"/>
        <v>1.8322136240772377E-3</v>
      </c>
      <c r="O69">
        <v>0.33880655647007452</v>
      </c>
      <c r="P69">
        <v>500</v>
      </c>
      <c r="Q69">
        <f t="shared" si="55"/>
        <v>0.37142308334596413</v>
      </c>
      <c r="S69" s="3">
        <f t="shared" si="56"/>
        <v>1.0638378254456298E-3</v>
      </c>
      <c r="U69">
        <v>0.28767352162566573</v>
      </c>
      <c r="V69">
        <v>500</v>
      </c>
      <c r="W69">
        <f t="shared" si="57"/>
        <v>0.31973503262604708</v>
      </c>
      <c r="Y69">
        <f t="shared" si="58"/>
        <v>1.0279404876275741E-3</v>
      </c>
      <c r="AA69">
        <v>0.27930179256867438</v>
      </c>
      <c r="AB69">
        <v>500</v>
      </c>
      <c r="AC69">
        <f t="shared" si="59"/>
        <v>0.31717369416111663</v>
      </c>
      <c r="AE69">
        <f t="shared" si="60"/>
        <v>1.4342809302276298E-3</v>
      </c>
      <c r="AG69">
        <v>0.26163998005482297</v>
      </c>
      <c r="AH69">
        <v>500</v>
      </c>
      <c r="AI69">
        <f t="shared" si="61"/>
        <v>0.31170779273472043</v>
      </c>
      <c r="AK69" s="3">
        <f t="shared" si="62"/>
        <v>2.5067858665493012E-3</v>
      </c>
    </row>
    <row r="70" spans="3:37">
      <c r="C70">
        <v>0.33376632485958391</v>
      </c>
      <c r="D70">
        <v>548</v>
      </c>
      <c r="E70">
        <f t="shared" si="51"/>
        <v>0.34719830479960523</v>
      </c>
      <c r="G70">
        <f t="shared" si="52"/>
        <v>1.8041808510913519E-4</v>
      </c>
      <c r="I70">
        <v>0.30912187510307282</v>
      </c>
      <c r="J70">
        <v>548</v>
      </c>
      <c r="K70">
        <f t="shared" si="53"/>
        <v>0.34389685857928931</v>
      </c>
      <c r="M70">
        <f t="shared" si="54"/>
        <v>1.20929947577113E-3</v>
      </c>
      <c r="O70">
        <v>0.36474121484240662</v>
      </c>
      <c r="P70">
        <v>548</v>
      </c>
      <c r="Q70">
        <f t="shared" si="55"/>
        <v>0.39452219621353934</v>
      </c>
      <c r="S70" s="3">
        <f t="shared" si="56"/>
        <v>8.8690685142775406E-4</v>
      </c>
      <c r="U70">
        <v>0.34120911570623064</v>
      </c>
      <c r="V70">
        <v>548</v>
      </c>
      <c r="W70">
        <f t="shared" si="57"/>
        <v>0.34321479584508174</v>
      </c>
      <c r="Y70">
        <f t="shared" si="58"/>
        <v>4.0227528193817958E-6</v>
      </c>
      <c r="AA70">
        <v>0.32569948915345043</v>
      </c>
      <c r="AB70">
        <v>548</v>
      </c>
      <c r="AC70">
        <f t="shared" si="59"/>
        <v>0.3412857310001598</v>
      </c>
      <c r="AE70">
        <f t="shared" si="60"/>
        <v>2.4293093490411431E-4</v>
      </c>
      <c r="AG70">
        <v>0.32415454123728005</v>
      </c>
      <c r="AH70">
        <v>548</v>
      </c>
      <c r="AI70">
        <f t="shared" si="61"/>
        <v>0.34361318668895069</v>
      </c>
      <c r="AK70" s="3">
        <f t="shared" si="62"/>
        <v>3.7863888281382258E-4</v>
      </c>
    </row>
    <row r="71" spans="3:37">
      <c r="C71">
        <v>0.40083285174049865</v>
      </c>
      <c r="D71">
        <v>620</v>
      </c>
      <c r="E71">
        <f t="shared" si="51"/>
        <v>0.39566151791540027</v>
      </c>
      <c r="G71">
        <f t="shared" si="52"/>
        <v>2.6742693530606627E-5</v>
      </c>
      <c r="I71">
        <v>0.3757484329138544</v>
      </c>
      <c r="J71">
        <v>620</v>
      </c>
      <c r="K71">
        <f t="shared" si="53"/>
        <v>0.38430045912363858</v>
      </c>
      <c r="M71">
        <f t="shared" si="54"/>
        <v>7.313715229283557E-5</v>
      </c>
      <c r="O71">
        <v>0.44458666670029856</v>
      </c>
      <c r="P71">
        <v>620</v>
      </c>
      <c r="Q71">
        <f t="shared" si="55"/>
        <v>0.42791476410299806</v>
      </c>
      <c r="S71" s="3">
        <f t="shared" si="56"/>
        <v>2.7795233621387525E-4</v>
      </c>
      <c r="U71">
        <v>0.38480843792144692</v>
      </c>
      <c r="V71">
        <v>620</v>
      </c>
      <c r="W71">
        <f t="shared" si="57"/>
        <v>0.3775812289082664</v>
      </c>
      <c r="Y71">
        <f t="shared" si="58"/>
        <v>5.2232550120197812E-5</v>
      </c>
      <c r="AA71">
        <v>0.37196780563191989</v>
      </c>
      <c r="AB71">
        <v>620</v>
      </c>
      <c r="AC71">
        <f t="shared" si="59"/>
        <v>0.37667781225720115</v>
      </c>
      <c r="AE71">
        <f t="shared" si="60"/>
        <v>2.2184162410193363E-5</v>
      </c>
      <c r="AG71">
        <v>0.39098410311547283</v>
      </c>
      <c r="AH71">
        <v>620</v>
      </c>
      <c r="AI71">
        <f t="shared" si="61"/>
        <v>0.39179891239983811</v>
      </c>
      <c r="AK71" s="3">
        <f t="shared" si="62"/>
        <v>6.6391416988786137E-7</v>
      </c>
    </row>
    <row r="72" spans="3:37">
      <c r="C72">
        <v>0.47701245233771594</v>
      </c>
      <c r="D72">
        <v>716</v>
      </c>
      <c r="E72">
        <f t="shared" si="51"/>
        <v>0.46078813146186154</v>
      </c>
      <c r="G72">
        <f t="shared" si="52"/>
        <v>2.6322858788268498E-4</v>
      </c>
      <c r="I72">
        <v>0.45674876022063166</v>
      </c>
      <c r="J72">
        <v>716</v>
      </c>
      <c r="K72">
        <f t="shared" si="53"/>
        <v>0.43745316443287596</v>
      </c>
      <c r="M72">
        <f t="shared" si="54"/>
        <v>3.7232001680445522E-4</v>
      </c>
      <c r="O72">
        <v>0.55234370374548725</v>
      </c>
      <c r="P72">
        <v>716</v>
      </c>
      <c r="Q72">
        <f t="shared" si="55"/>
        <v>0.47044366593092257</v>
      </c>
      <c r="S72" s="3">
        <f t="shared" si="56"/>
        <v>6.7076161940271238E-3</v>
      </c>
      <c r="U72">
        <v>0.44282697171567675</v>
      </c>
      <c r="V72">
        <v>716</v>
      </c>
      <c r="W72">
        <f t="shared" si="57"/>
        <v>0.42202956114105833</v>
      </c>
      <c r="Y72">
        <f t="shared" si="58"/>
        <v>4.3253228660925029E-4</v>
      </c>
      <c r="AA72">
        <v>0.42359544420624984</v>
      </c>
      <c r="AB72">
        <v>716</v>
      </c>
      <c r="AC72">
        <f t="shared" si="59"/>
        <v>0.42261407829103415</v>
      </c>
      <c r="AE72">
        <f t="shared" si="60"/>
        <v>9.6307905954713447E-7</v>
      </c>
      <c r="AG72">
        <v>0.47002626307182255</v>
      </c>
      <c r="AH72">
        <v>716</v>
      </c>
      <c r="AI72">
        <f t="shared" si="61"/>
        <v>0.45659270402809166</v>
      </c>
      <c r="AK72" s="3">
        <f t="shared" si="62"/>
        <v>1.8046050858140403E-4</v>
      </c>
    </row>
    <row r="73" spans="3:37">
      <c r="C73">
        <v>0.56483925530427992</v>
      </c>
      <c r="D73">
        <v>788</v>
      </c>
      <c r="E73">
        <f t="shared" si="51"/>
        <v>0.5099738965017</v>
      </c>
      <c r="G73">
        <f t="shared" si="52"/>
        <v>3.0102075965358342E-3</v>
      </c>
      <c r="I73">
        <v>0.55290077272998317</v>
      </c>
      <c r="J73">
        <v>788</v>
      </c>
      <c r="K73">
        <f t="shared" si="53"/>
        <v>0.4768455716311456</v>
      </c>
      <c r="M73">
        <f t="shared" si="54"/>
        <v>5.784393614184623E-3</v>
      </c>
      <c r="S73" s="3">
        <f>SUM(S50:S72)</f>
        <v>2.1326092532075701E-2</v>
      </c>
      <c r="U73">
        <v>0.53887852515096724</v>
      </c>
      <c r="V73">
        <v>788</v>
      </c>
      <c r="W73">
        <f t="shared" si="57"/>
        <v>0.4544772962743569</v>
      </c>
      <c r="Y73">
        <f t="shared" si="58"/>
        <v>7.1235674358819624E-3</v>
      </c>
      <c r="AA73">
        <v>0.56020653001212006</v>
      </c>
      <c r="AB73">
        <v>788</v>
      </c>
      <c r="AC73">
        <f t="shared" si="59"/>
        <v>0.45625306997339693</v>
      </c>
      <c r="AE73">
        <f t="shared" si="60"/>
        <v>1.0806321854022407E-2</v>
      </c>
      <c r="AG73">
        <v>0.58525506242522163</v>
      </c>
      <c r="AH73">
        <v>788</v>
      </c>
      <c r="AI73">
        <f t="shared" si="61"/>
        <v>0.50555393813408034</v>
      </c>
      <c r="AK73" s="3">
        <f>SUM(AK50:AK72)</f>
        <v>3.577642252227381E-2</v>
      </c>
    </row>
    <row r="74" spans="3:37">
      <c r="G74">
        <f>SUM(G50:G73)</f>
        <v>3.1264301681644499E-2</v>
      </c>
      <c r="M74">
        <f>SUM(M50:M73)</f>
        <v>2.6527181374274546E-2</v>
      </c>
      <c r="Y74">
        <f>SUM(Y50:Y73)</f>
        <v>3.5202080530029031E-2</v>
      </c>
      <c r="AE74">
        <f>SUM(AE50:AE73)</f>
        <v>3.7604361039625937E-2</v>
      </c>
    </row>
    <row r="91" spans="2:4">
      <c r="B91" t="s">
        <v>42</v>
      </c>
      <c r="C91" t="s">
        <v>40</v>
      </c>
      <c r="D91" t="s">
        <v>41</v>
      </c>
    </row>
    <row r="92" spans="2:4">
      <c r="B92">
        <v>0.5</v>
      </c>
      <c r="C92">
        <f>(F3+L3+R3)/3</f>
        <v>6.9376224820231992E-3</v>
      </c>
      <c r="D92">
        <f>(X3+AD3+AJ3)/3</f>
        <v>8.8156455892838565E-3</v>
      </c>
    </row>
    <row r="93" spans="2:4">
      <c r="B93">
        <v>1</v>
      </c>
      <c r="C93">
        <f t="shared" ref="C93:C118" si="63">(F4+L4+R4)/3</f>
        <v>1.3257034404771937E-2</v>
      </c>
      <c r="D93">
        <f t="shared" ref="D93:D118" si="64">(X4+AD4+AJ4)/3</f>
        <v>1.5983602868612293E-2</v>
      </c>
    </row>
    <row r="94" spans="2:4">
      <c r="B94">
        <v>2</v>
      </c>
      <c r="C94">
        <f t="shared" si="63"/>
        <v>2.5733690381440397E-2</v>
      </c>
      <c r="D94">
        <f t="shared" si="64"/>
        <v>2.5544357047019576E-2</v>
      </c>
    </row>
    <row r="95" spans="2:4">
      <c r="B95">
        <v>3</v>
      </c>
      <c r="C95">
        <f t="shared" si="63"/>
        <v>3.6818499936511338E-2</v>
      </c>
      <c r="D95">
        <f t="shared" si="64"/>
        <v>4.1171560393636612E-2</v>
      </c>
    </row>
    <row r="96" spans="2:4">
      <c r="B96">
        <v>4</v>
      </c>
      <c r="C96">
        <f t="shared" si="63"/>
        <v>4.4199541754487204E-2</v>
      </c>
      <c r="D96">
        <f t="shared" si="64"/>
        <v>4.8210942587573406E-2</v>
      </c>
    </row>
    <row r="97" spans="2:4">
      <c r="B97">
        <v>26</v>
      </c>
      <c r="C97">
        <f t="shared" si="63"/>
        <v>8.1537882339190279E-2</v>
      </c>
      <c r="D97">
        <f t="shared" si="64"/>
        <v>8.9263669051768482E-2</v>
      </c>
    </row>
    <row r="98" spans="2:4">
      <c r="B98">
        <v>29</v>
      </c>
      <c r="C98">
        <f t="shared" si="63"/>
        <v>8.1831487178160037E-2</v>
      </c>
      <c r="D98">
        <f t="shared" si="64"/>
        <v>8.9513745925846655E-2</v>
      </c>
    </row>
    <row r="99" spans="2:4">
      <c r="B99">
        <v>47.5</v>
      </c>
      <c r="C99">
        <f t="shared" si="63"/>
        <v>8.8838964205624163E-2</v>
      </c>
      <c r="D99">
        <f t="shared" si="64"/>
        <v>9.0488370330678025E-2</v>
      </c>
    </row>
    <row r="100" spans="2:4">
      <c r="B100">
        <v>67</v>
      </c>
      <c r="C100">
        <f t="shared" si="63"/>
        <v>9.9057094528560721E-2</v>
      </c>
      <c r="D100">
        <f t="shared" si="64"/>
        <v>0.10354232942853965</v>
      </c>
    </row>
    <row r="101" spans="2:4">
      <c r="B101">
        <v>73.5</v>
      </c>
      <c r="C101">
        <f t="shared" si="63"/>
        <v>0.10770623102359844</v>
      </c>
      <c r="D101">
        <f t="shared" si="64"/>
        <v>0.11224862309862792</v>
      </c>
    </row>
    <row r="102" spans="2:4">
      <c r="B102">
        <v>113</v>
      </c>
      <c r="C102">
        <f t="shared" si="63"/>
        <v>0.11906797176917429</v>
      </c>
      <c r="D102">
        <f t="shared" si="64"/>
        <v>0.11897131950777645</v>
      </c>
    </row>
    <row r="103" spans="2:4">
      <c r="B103">
        <v>166</v>
      </c>
      <c r="C103">
        <f t="shared" si="63"/>
        <v>0.14300995496756033</v>
      </c>
      <c r="D103">
        <f t="shared" si="64"/>
        <v>0.12987613353592101</v>
      </c>
    </row>
    <row r="104" spans="2:4">
      <c r="B104">
        <v>188</v>
      </c>
      <c r="C104">
        <f t="shared" si="63"/>
        <v>0.14419085503562476</v>
      </c>
      <c r="D104">
        <f t="shared" si="64"/>
        <v>0.14108837634010787</v>
      </c>
    </row>
    <row r="105" spans="2:4">
      <c r="B105">
        <v>237</v>
      </c>
      <c r="C105">
        <f t="shared" si="63"/>
        <v>0.15943113204790571</v>
      </c>
      <c r="D105">
        <f t="shared" si="64"/>
        <v>0.15422312242102174</v>
      </c>
    </row>
    <row r="106" spans="2:4">
      <c r="B106">
        <v>276</v>
      </c>
      <c r="C106">
        <f t="shared" si="63"/>
        <v>0.18391871155514558</v>
      </c>
      <c r="D106">
        <f t="shared" si="64"/>
        <v>0.17108803848828458</v>
      </c>
    </row>
    <row r="107" spans="2:4">
      <c r="B107">
        <v>305</v>
      </c>
      <c r="C107">
        <f t="shared" si="63"/>
        <v>0.2060619004221472</v>
      </c>
      <c r="D107">
        <f t="shared" si="64"/>
        <v>0.18114263998691618</v>
      </c>
    </row>
    <row r="108" spans="2:4">
      <c r="B108">
        <v>376</v>
      </c>
      <c r="C108">
        <f t="shared" si="63"/>
        <v>0.22157764626625678</v>
      </c>
      <c r="D108">
        <f t="shared" si="64"/>
        <v>0.20519779623589626</v>
      </c>
    </row>
    <row r="109" spans="2:4">
      <c r="B109">
        <v>408.5</v>
      </c>
      <c r="C109">
        <f t="shared" si="63"/>
        <v>0.26678976184962316</v>
      </c>
      <c r="D109">
        <f t="shared" si="64"/>
        <v>0.22597597490392682</v>
      </c>
    </row>
    <row r="110" spans="2:4">
      <c r="B110">
        <v>452</v>
      </c>
      <c r="C110">
        <f t="shared" si="63"/>
        <v>0.28046700114139939</v>
      </c>
      <c r="D110">
        <f t="shared" si="64"/>
        <v>0.23866366304991157</v>
      </c>
    </row>
    <row r="111" spans="2:4">
      <c r="B111">
        <v>500</v>
      </c>
      <c r="C111">
        <f t="shared" si="63"/>
        <v>0.29937906779228152</v>
      </c>
      <c r="D111">
        <f t="shared" si="64"/>
        <v>0.27620509808305438</v>
      </c>
    </row>
    <row r="112" spans="2:4">
      <c r="B112">
        <v>548</v>
      </c>
      <c r="C112">
        <f t="shared" si="63"/>
        <v>0.33587647160168776</v>
      </c>
      <c r="D112">
        <f t="shared" si="64"/>
        <v>0.33035438203232037</v>
      </c>
    </row>
    <row r="113" spans="2:4">
      <c r="B113">
        <v>620</v>
      </c>
      <c r="C113">
        <f t="shared" si="63"/>
        <v>0.40705598378488389</v>
      </c>
      <c r="D113">
        <f t="shared" si="64"/>
        <v>0.38258678222294656</v>
      </c>
    </row>
    <row r="114" spans="2:4">
      <c r="B114">
        <v>716</v>
      </c>
      <c r="C114">
        <f t="shared" si="63"/>
        <v>0.49536830543461163</v>
      </c>
      <c r="D114">
        <f t="shared" si="64"/>
        <v>0.44548289299791638</v>
      </c>
    </row>
    <row r="115" spans="2:4">
      <c r="B115">
        <v>788</v>
      </c>
      <c r="C115">
        <f t="shared" si="63"/>
        <v>0.59745902170744491</v>
      </c>
      <c r="D115">
        <f t="shared" si="64"/>
        <v>0.56144670586276968</v>
      </c>
    </row>
    <row r="116" spans="2:4">
      <c r="B116">
        <v>860</v>
      </c>
      <c r="C116">
        <f t="shared" si="63"/>
        <v>0.72583820275509681</v>
      </c>
      <c r="D116">
        <f t="shared" si="64"/>
        <v>0.67845385432371852</v>
      </c>
    </row>
    <row r="117" spans="2:4">
      <c r="B117">
        <v>956</v>
      </c>
      <c r="C117">
        <f t="shared" si="63"/>
        <v>0.87222549732949173</v>
      </c>
      <c r="D117">
        <f t="shared" si="64"/>
        <v>0.82391962083122561</v>
      </c>
    </row>
    <row r="118" spans="2:4">
      <c r="B118">
        <v>980</v>
      </c>
      <c r="C118">
        <f t="shared" si="63"/>
        <v>0.99999906046831855</v>
      </c>
      <c r="D118">
        <f t="shared" si="64"/>
        <v>1.0000000000426688</v>
      </c>
    </row>
  </sheetData>
  <autoFilter ref="A22:A29"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workbookViewId="0">
      <pane xSplit="1" topLeftCell="Z1" activePane="topRight" state="frozen"/>
      <selection pane="topRight" activeCell="AK1" sqref="AK1:AK1048576"/>
    </sheetView>
  </sheetViews>
  <sheetFormatPr defaultRowHeight="15"/>
  <cols>
    <col min="5" max="6" width="18.42578125" customWidth="1"/>
    <col min="9" max="9" width="11.42578125" customWidth="1"/>
    <col min="10" max="10" width="11.7109375" customWidth="1"/>
    <col min="11" max="12" width="18.42578125" customWidth="1"/>
    <col min="13" max="13" width="11" bestFit="1" customWidth="1"/>
    <col min="15" max="15" width="11" customWidth="1"/>
    <col min="16" max="16" width="12.85546875" customWidth="1"/>
    <col min="17" max="18" width="18.42578125" customWidth="1"/>
    <col min="19" max="19" width="12" style="3" bestFit="1" customWidth="1"/>
    <col min="21" max="21" width="13.5703125" customWidth="1"/>
    <col min="22" max="22" width="14.140625" customWidth="1"/>
    <col min="23" max="24" width="18.42578125" customWidth="1"/>
    <col min="25" max="25" width="12" bestFit="1" customWidth="1"/>
    <col min="29" max="30" width="18.42578125" customWidth="1"/>
    <col min="31" max="31" width="12" bestFit="1" customWidth="1"/>
    <col min="33" max="33" width="12" customWidth="1"/>
    <col min="34" max="34" width="12.7109375" customWidth="1"/>
    <col min="35" max="35" width="18.42578125" customWidth="1"/>
    <col min="36" max="36" width="18.140625" customWidth="1"/>
    <col min="37" max="37" width="12" style="3" bestFit="1" customWidth="1"/>
  </cols>
  <sheetData>
    <row r="1" spans="1:39">
      <c r="A1" t="s">
        <v>0</v>
      </c>
      <c r="B1" t="s">
        <v>1</v>
      </c>
      <c r="C1" t="s">
        <v>3</v>
      </c>
      <c r="D1" t="s">
        <v>4</v>
      </c>
      <c r="E1" t="s">
        <v>19</v>
      </c>
      <c r="F1" t="s">
        <v>20</v>
      </c>
      <c r="H1" t="s">
        <v>2</v>
      </c>
      <c r="I1" t="s">
        <v>3</v>
      </c>
      <c r="J1" t="s">
        <v>4</v>
      </c>
      <c r="K1" t="s">
        <v>19</v>
      </c>
      <c r="L1" t="s">
        <v>21</v>
      </c>
      <c r="N1" t="s">
        <v>5</v>
      </c>
      <c r="O1" t="s">
        <v>3</v>
      </c>
      <c r="P1" t="s">
        <v>4</v>
      </c>
      <c r="Q1" t="s">
        <v>19</v>
      </c>
      <c r="R1" t="s">
        <v>22</v>
      </c>
      <c r="S1" s="3" t="s">
        <v>59</v>
      </c>
      <c r="T1" t="s">
        <v>6</v>
      </c>
      <c r="U1" t="s">
        <v>3</v>
      </c>
      <c r="V1" t="s">
        <v>4</v>
      </c>
      <c r="W1" t="s">
        <v>19</v>
      </c>
      <c r="X1" t="s">
        <v>21</v>
      </c>
      <c r="Z1" t="s">
        <v>7</v>
      </c>
      <c r="AA1" t="s">
        <v>3</v>
      </c>
      <c r="AB1" t="s">
        <v>4</v>
      </c>
      <c r="AC1" t="s">
        <v>19</v>
      </c>
      <c r="AD1" t="s">
        <v>21</v>
      </c>
      <c r="AF1" t="s">
        <v>8</v>
      </c>
      <c r="AG1" t="s">
        <v>3</v>
      </c>
      <c r="AH1" t="s">
        <v>4</v>
      </c>
      <c r="AI1" t="s">
        <v>19</v>
      </c>
      <c r="AJ1" t="s">
        <v>21</v>
      </c>
      <c r="AK1" s="3" t="s">
        <v>60</v>
      </c>
    </row>
    <row r="2" spans="1:39">
      <c r="B2">
        <v>2.2000000000000002</v>
      </c>
      <c r="H2">
        <v>2</v>
      </c>
      <c r="N2">
        <v>3</v>
      </c>
      <c r="T2">
        <v>2.6</v>
      </c>
      <c r="Z2">
        <v>3.1</v>
      </c>
      <c r="AF2">
        <v>2.8</v>
      </c>
    </row>
    <row r="3" spans="1:39">
      <c r="A3">
        <v>0.5</v>
      </c>
      <c r="B3">
        <f>(0.7299+0.7291)/2</f>
        <v>0.72950000000000004</v>
      </c>
      <c r="C3">
        <f>(B3+0.062)/30.465</f>
        <v>2.5980633513868378E-2</v>
      </c>
      <c r="D3">
        <f>C3*0.6/0.2</f>
        <v>7.794190054160513E-2</v>
      </c>
      <c r="E3">
        <f>D3</f>
        <v>7.794190054160513E-2</v>
      </c>
      <c r="F3">
        <f>E3/6.334305579</f>
        <v>1.2304726945918807E-2</v>
      </c>
      <c r="H3">
        <f>(0.7233+0.7239)/2</f>
        <v>0.72360000000000002</v>
      </c>
      <c r="I3">
        <f>(H3+0.062)/30.465</f>
        <v>2.578696865255211E-2</v>
      </c>
      <c r="J3">
        <f>I3*0.6/0.2</f>
        <v>7.7360905957656323E-2</v>
      </c>
      <c r="K3">
        <f>J3</f>
        <v>7.7360905957656323E-2</v>
      </c>
      <c r="L3">
        <f>K3/5.972643155</f>
        <v>1.2952541102827082E-2</v>
      </c>
      <c r="N3">
        <f>(0.7998+0.7996)/2</f>
        <v>0.79969999999999997</v>
      </c>
      <c r="O3">
        <f>(N3+0.062)/30.465</f>
        <v>2.8284917118004266E-2</v>
      </c>
      <c r="P3">
        <f>O3*0.6/0.2</f>
        <v>8.4854751354012797E-2</v>
      </c>
      <c r="Q3">
        <f>P3</f>
        <v>8.4854751354012797E-2</v>
      </c>
      <c r="R3">
        <f>Q3/6.951086632</f>
        <v>1.2207408114204151E-2</v>
      </c>
      <c r="S3" s="3">
        <f>AVERAGE(F3,L3,R3)</f>
        <v>1.2488225387650013E-2</v>
      </c>
      <c r="T3">
        <f>(0.7516+0.7514)/2</f>
        <v>0.75150000000000006</v>
      </c>
      <c r="U3">
        <f>(T3+0.062)/30.465</f>
        <v>2.6702773674708687E-2</v>
      </c>
      <c r="V3">
        <f>U3*0.6/0.2</f>
        <v>8.0108321024126045E-2</v>
      </c>
      <c r="W3">
        <f>V3</f>
        <v>8.0108321024126045E-2</v>
      </c>
      <c r="X3">
        <f>W3/3.033728679</f>
        <v>2.6405895022402575E-2</v>
      </c>
      <c r="Z3">
        <f>(0.3091+0.3097)/2</f>
        <v>0.30940000000000001</v>
      </c>
      <c r="AA3">
        <f>(Z3+0.062)/30.465</f>
        <v>1.2191038897095028E-2</v>
      </c>
      <c r="AB3">
        <f>AA3*0.6/0.2</f>
        <v>3.6573116691285081E-2</v>
      </c>
      <c r="AC3">
        <f>AB3</f>
        <v>3.6573116691285081E-2</v>
      </c>
      <c r="AD3">
        <f>AC3/5.888581078</f>
        <v>6.2108538893900717E-3</v>
      </c>
      <c r="AF3">
        <f>(0.9858+0.9856)/2</f>
        <v>0.98570000000000002</v>
      </c>
      <c r="AG3">
        <f>(AF3+0.062)/30.465</f>
        <v>3.4390283932381423E-2</v>
      </c>
      <c r="AH3">
        <f>AG3*0.6/0.2</f>
        <v>0.10317085179714425</v>
      </c>
      <c r="AI3">
        <f>AH3</f>
        <v>0.10317085179714425</v>
      </c>
      <c r="AJ3">
        <f>AI3/2.8</f>
        <v>3.6846732784694379E-2</v>
      </c>
      <c r="AK3" s="3">
        <f>AVERAGE(X3,AD3,AJ3)</f>
        <v>2.3154493898829009E-2</v>
      </c>
      <c r="AL3">
        <v>1</v>
      </c>
      <c r="AM3">
        <f>0.8^AL3</f>
        <v>0.8</v>
      </c>
    </row>
    <row r="4" spans="1:39">
      <c r="A4">
        <v>1</v>
      </c>
      <c r="B4">
        <f>(1.3914+1.3926)/2</f>
        <v>1.3919999999999999</v>
      </c>
      <c r="C4">
        <f t="shared" ref="C4:C17" si="0">(B4+0.062)/30.465</f>
        <v>4.7726899720991298E-2</v>
      </c>
      <c r="D4">
        <f t="shared" ref="D4:D17" si="1">C4*0.6/0.2</f>
        <v>0.14318069916297388</v>
      </c>
      <c r="E4">
        <f>IF(D4-D3&gt;0,E3+(D4-D3*0.8)/AM3,D4/AM3)</f>
        <v>0.17897587395371733</v>
      </c>
      <c r="F4">
        <f>IF(E4/6.334305579&gt;F3,E4/6.334305579,F3)</f>
        <v>2.8255011022371983E-2</v>
      </c>
      <c r="H4">
        <f>(1.1888+1.1872)/2</f>
        <v>1.1880000000000002</v>
      </c>
      <c r="I4">
        <f t="shared" ref="I4:I17" si="2">(H4+0.062)/30.465</f>
        <v>4.1030690956835723E-2</v>
      </c>
      <c r="J4">
        <f t="shared" ref="J4:J17" si="3">I4*0.6/0.2</f>
        <v>0.12309207287050716</v>
      </c>
      <c r="K4">
        <f>IF(J4-J3&gt;0,K3+(J4-J3*0.8)/AM3,J4/AM3)</f>
        <v>0.15386509108813395</v>
      </c>
      <c r="L4">
        <f>IF(K4/5.972643155&gt;L3,K4/5.972643155,L3)</f>
        <v>2.5761641386414614E-2</v>
      </c>
      <c r="N4">
        <v>1.3985000000000001</v>
      </c>
      <c r="O4">
        <f t="shared" ref="O4:O17" si="4">(N4+0.062)/30.465</f>
        <v>4.7940259313966851E-2</v>
      </c>
      <c r="P4">
        <f t="shared" ref="P4:P17" si="5">O4*0.6/0.2</f>
        <v>0.14382077794190054</v>
      </c>
      <c r="Q4">
        <f t="shared" ref="Q4:Q19" si="6">IF(P4-P3&gt;0,Q3+(P4-P3*0.8)/AM3,P4/AM3)</f>
        <v>0.17977597242737567</v>
      </c>
      <c r="R4">
        <f>IF(Q4/6.951086632&gt;R3,Q4/6.951086632,R3)</f>
        <v>2.5863002713814497E-2</v>
      </c>
      <c r="S4" s="3">
        <f t="shared" ref="S4:S29" si="7">AVERAGE(F4,L4,R4)</f>
        <v>2.6626551707533697E-2</v>
      </c>
      <c r="T4">
        <v>1.3516999999999999</v>
      </c>
      <c r="U4">
        <f t="shared" ref="U4:U17" si="8">(T4+0.062)/30.465</f>
        <v>4.6404070244542919E-2</v>
      </c>
      <c r="V4">
        <f t="shared" ref="V4:V14" si="9">U4*0.6/0.2</f>
        <v>0.13921221073362874</v>
      </c>
      <c r="W4">
        <f t="shared" ref="W4:W29" si="10">IF(V4-V3&gt;0,W3+(V4-V3*0.8)/AM3,V4/AM3)</f>
        <v>0.17401526341703594</v>
      </c>
      <c r="X4">
        <f>IF(W4/3.033728679&gt;X3,W4/3.033728679,X3)</f>
        <v>5.7360193290059189E-2</v>
      </c>
      <c r="Z4">
        <f>(0.9377+0.9373)/2</f>
        <v>0.9375</v>
      </c>
      <c r="AA4">
        <f t="shared" ref="AA4:AA14" si="11">(Z4+0.062)/30.465</f>
        <v>3.2808140489085841E-2</v>
      </c>
      <c r="AB4">
        <f t="shared" ref="AB4:AB14" si="12">AA4*0.6/0.2</f>
        <v>9.8424421467257509E-2</v>
      </c>
      <c r="AC4">
        <f t="shared" ref="AC4:AC29" si="13">IF(AB4-AB3&gt;0,AC3+(AB4-AB3*0.8)/AM3,AB4/AM3)</f>
        <v>0.1230305268340719</v>
      </c>
      <c r="AD4">
        <f>IF(AC4/5.888581078&gt;AD3,AC4/5.888581078,AD3)</f>
        <v>2.0893068330793543E-2</v>
      </c>
      <c r="AF4">
        <v>1.2776000000000001</v>
      </c>
      <c r="AG4">
        <f t="shared" ref="AG4:AG14" si="14">(AF4+0.062)/30.465</f>
        <v>4.3971770884621703E-2</v>
      </c>
      <c r="AH4">
        <f t="shared" ref="AH4:AH14" si="15">AG4*0.6/0.2</f>
        <v>0.13191531265386511</v>
      </c>
      <c r="AI4">
        <f>IF(AH4-AH3&gt;0,AI3+(AH4-AH3*0.8)/AM3,AH4/AM3)</f>
        <v>0.16489414081733136</v>
      </c>
      <c r="AJ4">
        <f>IF(AI4/2.8&gt;AJ3,AI4/2.8,AJ3)</f>
        <v>5.8890764577618347E-2</v>
      </c>
      <c r="AK4" s="3">
        <f t="shared" ref="AK4:AK29" si="16">AVERAGE(X4,AD4,AJ4)</f>
        <v>4.5714675399490361E-2</v>
      </c>
      <c r="AL4">
        <v>2</v>
      </c>
      <c r="AM4">
        <f t="shared" ref="AM4:AM29" si="17">0.8^AL4</f>
        <v>0.64000000000000012</v>
      </c>
    </row>
    <row r="5" spans="1:39">
      <c r="A5">
        <v>2</v>
      </c>
      <c r="B5">
        <f>(1.3776+1.3758)/2</f>
        <v>1.3767</v>
      </c>
      <c r="C5">
        <f t="shared" si="0"/>
        <v>4.7224684063679634E-2</v>
      </c>
      <c r="D5">
        <f t="shared" si="1"/>
        <v>0.14167405219103887</v>
      </c>
      <c r="E5">
        <f t="shared" ref="E5:E29" si="18">IF(D5-D4&gt;0,E4+(D5-D4*0.8)/AM4,D5/AM4)</f>
        <v>0.22136570654849819</v>
      </c>
      <c r="F5">
        <f t="shared" ref="F5:F29" si="19">IF(E5/6.334305579&gt;F4,E5/6.334305579,F4)</f>
        <v>3.4947115163244988E-2</v>
      </c>
      <c r="H5">
        <f>(1.3909+1.393)/2</f>
        <v>1.39195</v>
      </c>
      <c r="I5">
        <f t="shared" si="2"/>
        <v>4.7725258493353032E-2</v>
      </c>
      <c r="J5">
        <f t="shared" si="3"/>
        <v>0.14317577548005908</v>
      </c>
      <c r="K5">
        <f t="shared" ref="K5:K22" si="20">IF(J5-J4&gt;0,K4+(J5-J4*0.8)/AM4,J5/AM4)</f>
        <v>0.2237121491875923</v>
      </c>
      <c r="L5">
        <f t="shared" ref="L5:L29" si="21">IF(K5/5.972643155&gt;L4,K5/5.972643155,L4)</f>
        <v>3.7456138493777519E-2</v>
      </c>
      <c r="N5">
        <f>(1.6829+1.6837)/2</f>
        <v>1.6833</v>
      </c>
      <c r="O5">
        <f t="shared" si="4"/>
        <v>5.7288691941572302E-2</v>
      </c>
      <c r="P5">
        <f t="shared" si="5"/>
        <v>0.17186607582471689</v>
      </c>
      <c r="Q5">
        <f t="shared" si="6"/>
        <v>0.26854074347612011</v>
      </c>
      <c r="R5">
        <f t="shared" ref="R5:R28" si="22">IF(Q5/6.951086632&gt;R4,Q5/6.951086632,R4)</f>
        <v>3.8632915642263302E-2</v>
      </c>
      <c r="S5" s="3">
        <f t="shared" si="7"/>
        <v>3.7012056433095269E-2</v>
      </c>
      <c r="T5">
        <f>(1.4705+1.4725)/2</f>
        <v>1.4714999999999998</v>
      </c>
      <c r="U5">
        <f t="shared" si="8"/>
        <v>5.0336451665846049E-2</v>
      </c>
      <c r="V5">
        <f t="shared" si="9"/>
        <v>0.15100935499753812</v>
      </c>
      <c r="W5">
        <f t="shared" si="10"/>
        <v>0.23595211718365328</v>
      </c>
      <c r="X5">
        <f t="shared" ref="X5:X29" si="23">IF(W5/3.033728679&gt;X4,W5/3.033728679,X4)</f>
        <v>7.7776275385783522E-2</v>
      </c>
      <c r="Z5">
        <f>(1.1511+1.1528)/2</f>
        <v>1.15195</v>
      </c>
      <c r="AA5">
        <f t="shared" si="11"/>
        <v>3.9847365829640574E-2</v>
      </c>
      <c r="AB5">
        <f t="shared" si="12"/>
        <v>0.11954209748892172</v>
      </c>
      <c r="AC5">
        <f t="shared" si="13"/>
        <v>0.18678452732644019</v>
      </c>
      <c r="AD5">
        <f t="shared" ref="AD5:AD29" si="24">IF(AC5/5.888581078&gt;AD4,AC5/5.888581078,AD4)</f>
        <v>3.171978526784245E-2</v>
      </c>
      <c r="AF5">
        <f>(1.377+1.3795)/2</f>
        <v>1.37825</v>
      </c>
      <c r="AG5">
        <f t="shared" si="14"/>
        <v>4.7275562120466109E-2</v>
      </c>
      <c r="AH5">
        <f t="shared" si="15"/>
        <v>0.14182668636139831</v>
      </c>
      <c r="AI5">
        <f t="shared" ref="AI5:AI24" si="25">IF(AH5-AH4&gt;0,AI4+(AH5-AH4*0.8)/AM4,AH5/AM4)</f>
        <v>0.22160419743968482</v>
      </c>
      <c r="AJ5">
        <f t="shared" ref="AJ5:AJ29" si="26">IF(AI5/2.8&gt;AJ4,AI5/2.8,AJ4)</f>
        <v>7.9144356228458876E-2</v>
      </c>
      <c r="AK5" s="3">
        <f t="shared" si="16"/>
        <v>6.2880138960694942E-2</v>
      </c>
      <c r="AL5">
        <v>3</v>
      </c>
      <c r="AM5">
        <f t="shared" si="17"/>
        <v>0.51200000000000012</v>
      </c>
    </row>
    <row r="6" spans="1:39">
      <c r="A6">
        <v>3</v>
      </c>
      <c r="B6">
        <f>(1.2196+1.2207)/2</f>
        <v>1.2201499999999998</v>
      </c>
      <c r="C6">
        <f t="shared" si="0"/>
        <v>4.2086000328245526E-2</v>
      </c>
      <c r="D6">
        <f t="shared" si="1"/>
        <v>0.12625800098473658</v>
      </c>
      <c r="E6">
        <f t="shared" si="18"/>
        <v>0.24659765817331358</v>
      </c>
      <c r="F6">
        <f t="shared" si="19"/>
        <v>3.893049602640801E-2</v>
      </c>
      <c r="H6">
        <f>(1.2709+1.2691)/2</f>
        <v>1.27</v>
      </c>
      <c r="I6">
        <f t="shared" si="2"/>
        <v>4.3722304283604137E-2</v>
      </c>
      <c r="J6">
        <f t="shared" si="3"/>
        <v>0.13116691285081242</v>
      </c>
      <c r="K6">
        <f t="shared" si="20"/>
        <v>0.25618537666174296</v>
      </c>
      <c r="L6">
        <f t="shared" si="21"/>
        <v>4.2893132908380316E-2</v>
      </c>
      <c r="N6">
        <f>(1.388+1.3897)/2</f>
        <v>1.3888499999999999</v>
      </c>
      <c r="O6">
        <f t="shared" si="4"/>
        <v>4.7623502379780074E-2</v>
      </c>
      <c r="P6">
        <f t="shared" si="5"/>
        <v>0.14287050713934021</v>
      </c>
      <c r="Q6">
        <f t="shared" si="6"/>
        <v>0.27904395925652381</v>
      </c>
      <c r="R6">
        <f t="shared" si="22"/>
        <v>4.0143933463858431E-2</v>
      </c>
      <c r="S6" s="3">
        <f t="shared" si="7"/>
        <v>4.0655854132882252E-2</v>
      </c>
      <c r="T6">
        <f>(1.41+1.4122)/2</f>
        <v>1.4110999999999998</v>
      </c>
      <c r="U6">
        <f t="shared" si="8"/>
        <v>4.8353848678811748E-2</v>
      </c>
      <c r="V6">
        <f t="shared" si="9"/>
        <v>0.14506154603643523</v>
      </c>
      <c r="W6">
        <f t="shared" si="10"/>
        <v>0.28332333210241251</v>
      </c>
      <c r="X6">
        <f t="shared" si="23"/>
        <v>9.3391124283336902E-2</v>
      </c>
      <c r="Z6">
        <f>(1.178+1.1772)/2</f>
        <v>1.1776</v>
      </c>
      <c r="AA6">
        <f t="shared" si="11"/>
        <v>4.0689315608074844E-2</v>
      </c>
      <c r="AB6">
        <f t="shared" si="12"/>
        <v>0.12206794682422453</v>
      </c>
      <c r="AC6">
        <f t="shared" si="13"/>
        <v>0.23841395864106352</v>
      </c>
      <c r="AD6">
        <f t="shared" si="24"/>
        <v>4.0487505475943715E-2</v>
      </c>
      <c r="AF6">
        <f>(1.2426+1.2432)/2</f>
        <v>1.2429000000000001</v>
      </c>
      <c r="AG6">
        <f t="shared" si="14"/>
        <v>4.2832758903659944E-2</v>
      </c>
      <c r="AH6">
        <f t="shared" si="15"/>
        <v>0.12849827671097983</v>
      </c>
      <c r="AI6">
        <f t="shared" si="25"/>
        <v>0.25097319670113238</v>
      </c>
      <c r="AJ6">
        <f t="shared" si="26"/>
        <v>8.9633284536118712E-2</v>
      </c>
      <c r="AK6" s="3">
        <f t="shared" si="16"/>
        <v>7.4503971431799779E-2</v>
      </c>
      <c r="AL6">
        <v>4</v>
      </c>
      <c r="AM6">
        <f t="shared" si="17"/>
        <v>0.40960000000000019</v>
      </c>
    </row>
    <row r="7" spans="1:39">
      <c r="A7">
        <v>4</v>
      </c>
      <c r="B7">
        <f>(1.0409+1.0543)/2</f>
        <v>1.0476000000000001</v>
      </c>
      <c r="C7">
        <f t="shared" si="0"/>
        <v>3.6422123748563934E-2</v>
      </c>
      <c r="D7">
        <f t="shared" si="1"/>
        <v>0.10926637124569179</v>
      </c>
      <c r="E7">
        <f t="shared" si="18"/>
        <v>0.26676360167405211</v>
      </c>
      <c r="F7">
        <f t="shared" si="19"/>
        <v>4.2114103645149094E-2</v>
      </c>
      <c r="H7">
        <f>(1.0442+1.0429)/2</f>
        <v>1.04355</v>
      </c>
      <c r="I7">
        <f t="shared" si="2"/>
        <v>3.6289184309863783E-2</v>
      </c>
      <c r="J7">
        <f t="shared" si="3"/>
        <v>0.10886755292959134</v>
      </c>
      <c r="K7">
        <f t="shared" si="20"/>
        <v>0.26578992414450997</v>
      </c>
      <c r="L7">
        <f t="shared" si="21"/>
        <v>4.4501222866797904E-2</v>
      </c>
      <c r="N7">
        <f>(1.3434+1.3449)/2</f>
        <v>1.34415</v>
      </c>
      <c r="O7">
        <f t="shared" si="4"/>
        <v>4.6156244871163633E-2</v>
      </c>
      <c r="P7">
        <f t="shared" si="5"/>
        <v>0.13846873461349088</v>
      </c>
      <c r="Q7">
        <f t="shared" si="6"/>
        <v>0.33805843411496783</v>
      </c>
      <c r="R7">
        <f t="shared" si="22"/>
        <v>4.8633897405145711E-2</v>
      </c>
      <c r="S7" s="3">
        <f t="shared" si="7"/>
        <v>4.5083074639030905E-2</v>
      </c>
      <c r="T7">
        <f>(1.1922+1.193)/2</f>
        <v>1.1926000000000001</v>
      </c>
      <c r="U7">
        <f t="shared" si="8"/>
        <v>4.1181683899556877E-2</v>
      </c>
      <c r="V7">
        <f t="shared" si="9"/>
        <v>0.12354505169867062</v>
      </c>
      <c r="W7">
        <f t="shared" si="10"/>
        <v>0.30162366137370744</v>
      </c>
      <c r="X7">
        <f t="shared" si="23"/>
        <v>9.9423413656468063E-2</v>
      </c>
      <c r="Z7">
        <f>(1.0098+1.0089)/2</f>
        <v>1.00935</v>
      </c>
      <c r="AA7">
        <f t="shared" si="11"/>
        <v>3.5166584605284754E-2</v>
      </c>
      <c r="AB7">
        <f t="shared" si="12"/>
        <v>0.10549975381585426</v>
      </c>
      <c r="AC7">
        <f t="shared" si="13"/>
        <v>0.25756775833948781</v>
      </c>
      <c r="AD7">
        <f t="shared" si="24"/>
        <v>4.3740207518203726E-2</v>
      </c>
      <c r="AF7">
        <f>(1.0972+1.0989)/2</f>
        <v>1.09805</v>
      </c>
      <c r="AG7">
        <f t="shared" si="14"/>
        <v>3.807812243558182E-2</v>
      </c>
      <c r="AH7">
        <f t="shared" si="15"/>
        <v>0.11423436730674545</v>
      </c>
      <c r="AI7">
        <f t="shared" si="25"/>
        <v>0.27889249830748386</v>
      </c>
      <c r="AJ7">
        <f t="shared" si="26"/>
        <v>9.9604463681244246E-2</v>
      </c>
      <c r="AK7" s="3">
        <f t="shared" si="16"/>
        <v>8.0922694951972018E-2</v>
      </c>
      <c r="AL7">
        <v>5</v>
      </c>
      <c r="AM7">
        <f t="shared" si="17"/>
        <v>0.32768000000000019</v>
      </c>
    </row>
    <row r="8" spans="1:39">
      <c r="A8">
        <v>26</v>
      </c>
      <c r="B8">
        <f>(1.0544+1.0549)/2</f>
        <v>1.0546500000000001</v>
      </c>
      <c r="C8">
        <f t="shared" si="0"/>
        <v>3.6653536845560483E-2</v>
      </c>
      <c r="D8">
        <f t="shared" si="1"/>
        <v>0.10996061053668144</v>
      </c>
      <c r="E8">
        <f t="shared" si="18"/>
        <v>0.33557315227258722</v>
      </c>
      <c r="F8">
        <f t="shared" si="19"/>
        <v>5.2977101923391001E-2</v>
      </c>
      <c r="H8">
        <f>(1.0899+1.0894)/2</f>
        <v>1.08965</v>
      </c>
      <c r="I8">
        <f t="shared" si="2"/>
        <v>3.7802396192351879E-2</v>
      </c>
      <c r="J8">
        <f t="shared" si="3"/>
        <v>0.11340718857705563</v>
      </c>
      <c r="K8">
        <f t="shared" si="20"/>
        <v>0.34609127373369009</v>
      </c>
      <c r="L8">
        <f t="shared" si="21"/>
        <v>5.7946082622391336E-2</v>
      </c>
      <c r="N8">
        <f>(1.3765+1.3785)/2</f>
        <v>1.3774999999999999</v>
      </c>
      <c r="O8">
        <f t="shared" si="4"/>
        <v>4.7250943705892008E-2</v>
      </c>
      <c r="P8">
        <f t="shared" si="5"/>
        <v>0.141752831117676</v>
      </c>
      <c r="Q8">
        <f t="shared" si="6"/>
        <v>0.43259530980736066</v>
      </c>
      <c r="R8">
        <f t="shared" si="22"/>
        <v>6.2234199156124208E-2</v>
      </c>
      <c r="S8" s="3">
        <f t="shared" si="7"/>
        <v>5.771912790063552E-2</v>
      </c>
      <c r="T8">
        <f>(1.1547+1.1542)/2</f>
        <v>1.15445</v>
      </c>
      <c r="U8">
        <f t="shared" si="8"/>
        <v>3.9929427211554243E-2</v>
      </c>
      <c r="V8">
        <f t="shared" si="9"/>
        <v>0.11978828163466272</v>
      </c>
      <c r="W8">
        <f t="shared" si="10"/>
        <v>0.36556482432453202</v>
      </c>
      <c r="X8">
        <f t="shared" si="23"/>
        <v>0.12050017091344904</v>
      </c>
      <c r="Z8">
        <f>(1.2034+1.2039)/2</f>
        <v>1.2036500000000001</v>
      </c>
      <c r="AA8">
        <f t="shared" si="11"/>
        <v>4.1544395207615305E-2</v>
      </c>
      <c r="AB8">
        <f t="shared" si="12"/>
        <v>0.12463318562284591</v>
      </c>
      <c r="AC8">
        <f t="shared" si="13"/>
        <v>0.3803502979212825</v>
      </c>
      <c r="AD8">
        <f t="shared" si="24"/>
        <v>6.459116260490802E-2</v>
      </c>
      <c r="AF8">
        <f>(0.9894+0.9899)/2</f>
        <v>0.98964999999999992</v>
      </c>
      <c r="AG8">
        <f t="shared" si="14"/>
        <v>3.4519940915805021E-2</v>
      </c>
      <c r="AH8">
        <f t="shared" si="15"/>
        <v>0.10355982274741504</v>
      </c>
      <c r="AI8">
        <f t="shared" si="25"/>
        <v>0.31603949813053889</v>
      </c>
      <c r="AJ8">
        <f t="shared" si="26"/>
        <v>0.11287124933233532</v>
      </c>
      <c r="AK8" s="3">
        <f t="shared" si="16"/>
        <v>9.9320860950230794E-2</v>
      </c>
      <c r="AL8">
        <v>6</v>
      </c>
      <c r="AM8">
        <f t="shared" si="17"/>
        <v>0.26214400000000015</v>
      </c>
    </row>
    <row r="9" spans="1:39">
      <c r="A9">
        <v>29</v>
      </c>
      <c r="B9">
        <f>(0.7822+0.7818)/2</f>
        <v>0.78200000000000003</v>
      </c>
      <c r="C9">
        <f t="shared" si="0"/>
        <v>2.7703922534055476E-2</v>
      </c>
      <c r="D9">
        <f t="shared" si="1"/>
        <v>8.3111767602166431E-2</v>
      </c>
      <c r="E9">
        <f t="shared" si="18"/>
        <v>0.31704623261324455</v>
      </c>
      <c r="F9">
        <f t="shared" si="19"/>
        <v>5.2977101923391001E-2</v>
      </c>
      <c r="H9">
        <f>(0.8359+0.8362)/2</f>
        <v>0.83604999999999996</v>
      </c>
      <c r="I9">
        <f t="shared" si="2"/>
        <v>2.9478089611029049E-2</v>
      </c>
      <c r="J9">
        <f t="shared" si="3"/>
        <v>8.8434268833087137E-2</v>
      </c>
      <c r="K9">
        <f t="shared" si="20"/>
        <v>0.33734996350512347</v>
      </c>
      <c r="L9">
        <f t="shared" si="21"/>
        <v>5.7946082622391336E-2</v>
      </c>
      <c r="N9">
        <f>(1.0055+1.0057)/2</f>
        <v>1.0056</v>
      </c>
      <c r="O9">
        <f t="shared" si="4"/>
        <v>3.5043492532414247E-2</v>
      </c>
      <c r="P9">
        <f t="shared" si="5"/>
        <v>0.10513047759724274</v>
      </c>
      <c r="Q9">
        <f t="shared" si="6"/>
        <v>0.40104094542405194</v>
      </c>
      <c r="R9">
        <f t="shared" si="22"/>
        <v>6.2234199156124208E-2</v>
      </c>
      <c r="S9" s="3">
        <f t="shared" si="7"/>
        <v>5.771912790063552E-2</v>
      </c>
      <c r="T9">
        <f>(0.8368+0.8381)/2</f>
        <v>0.83745000000000003</v>
      </c>
      <c r="U9">
        <f t="shared" si="8"/>
        <v>2.9524043984900709E-2</v>
      </c>
      <c r="V9">
        <f t="shared" si="9"/>
        <v>8.8572131954702121E-2</v>
      </c>
      <c r="W9">
        <f t="shared" si="10"/>
        <v>0.33787586957817867</v>
      </c>
      <c r="X9">
        <f t="shared" si="23"/>
        <v>0.12050017091344904</v>
      </c>
      <c r="Z9">
        <f>(0.9664+0.965)/2</f>
        <v>0.9657</v>
      </c>
      <c r="AA9">
        <f t="shared" si="11"/>
        <v>3.3733792877072052E-2</v>
      </c>
      <c r="AB9">
        <f t="shared" si="12"/>
        <v>0.10120137863121614</v>
      </c>
      <c r="AC9">
        <f t="shared" si="13"/>
        <v>0.38605262234198029</v>
      </c>
      <c r="AD9">
        <f t="shared" si="24"/>
        <v>6.5559532462631798E-2</v>
      </c>
      <c r="AF9">
        <f>(0.7642+0.7638)/2</f>
        <v>0.76400000000000001</v>
      </c>
      <c r="AG9">
        <f t="shared" si="14"/>
        <v>2.7113080584277041E-2</v>
      </c>
      <c r="AH9">
        <f t="shared" si="15"/>
        <v>8.133924175283111E-2</v>
      </c>
      <c r="AI9">
        <f t="shared" si="25"/>
        <v>0.31028458310253548</v>
      </c>
      <c r="AJ9">
        <f t="shared" si="26"/>
        <v>0.11287124933233532</v>
      </c>
      <c r="AK9" s="3">
        <f t="shared" si="16"/>
        <v>9.96436509028054E-2</v>
      </c>
      <c r="AL9">
        <v>7</v>
      </c>
      <c r="AM9">
        <f t="shared" si="17"/>
        <v>0.20971520000000016</v>
      </c>
    </row>
    <row r="10" spans="1:39">
      <c r="A10">
        <v>47.5</v>
      </c>
      <c r="B10">
        <f>(0.7276+0.726)/2</f>
        <v>0.7268</v>
      </c>
      <c r="C10">
        <f t="shared" si="0"/>
        <v>2.5892007221401607E-2</v>
      </c>
      <c r="D10">
        <f t="shared" si="1"/>
        <v>7.7676021664204814E-2</v>
      </c>
      <c r="E10">
        <f t="shared" si="18"/>
        <v>0.37038813430883766</v>
      </c>
      <c r="F10">
        <f t="shared" si="19"/>
        <v>5.8473360605901026E-2</v>
      </c>
      <c r="H10">
        <f>(0.7772+0.7769)/2</f>
        <v>0.77705000000000002</v>
      </c>
      <c r="I10">
        <f t="shared" si="2"/>
        <v>2.7541440997866408E-2</v>
      </c>
      <c r="J10">
        <f t="shared" si="3"/>
        <v>8.2624322993599217E-2</v>
      </c>
      <c r="K10">
        <f t="shared" si="20"/>
        <v>0.3939834737472494</v>
      </c>
      <c r="L10">
        <f t="shared" si="21"/>
        <v>6.5964676529758182E-2</v>
      </c>
      <c r="N10">
        <f>(0.9397+0.9404)/2</f>
        <v>0.94005000000000005</v>
      </c>
      <c r="O10">
        <f t="shared" si="4"/>
        <v>3.2891843098637782E-2</v>
      </c>
      <c r="P10">
        <f t="shared" si="5"/>
        <v>9.8675529295913333E-2</v>
      </c>
      <c r="Q10">
        <f t="shared" si="6"/>
        <v>0.47052158973652486</v>
      </c>
      <c r="R10">
        <f t="shared" si="22"/>
        <v>6.7690364779865231E-2</v>
      </c>
      <c r="S10" s="3">
        <f t="shared" si="7"/>
        <v>6.4042800638508146E-2</v>
      </c>
      <c r="T10">
        <f>(0.7299+0.7296)/2</f>
        <v>0.72975000000000001</v>
      </c>
      <c r="U10">
        <f t="shared" si="8"/>
        <v>2.5988839652059739E-2</v>
      </c>
      <c r="V10">
        <f t="shared" si="9"/>
        <v>7.7966518956179218E-2</v>
      </c>
      <c r="W10">
        <f t="shared" si="10"/>
        <v>0.37177333334054546</v>
      </c>
      <c r="X10">
        <f t="shared" si="23"/>
        <v>0.12254666540024671</v>
      </c>
      <c r="Z10">
        <f>(0.9699+0.9711)/2</f>
        <v>0.97049999999999992</v>
      </c>
      <c r="AA10">
        <f t="shared" si="11"/>
        <v>3.3891350730346298E-2</v>
      </c>
      <c r="AB10">
        <f t="shared" si="12"/>
        <v>0.10167405219103888</v>
      </c>
      <c r="AC10">
        <f t="shared" si="13"/>
        <v>0.48481966109771157</v>
      </c>
      <c r="AD10">
        <f t="shared" si="24"/>
        <v>8.233217046276553E-2</v>
      </c>
      <c r="AF10">
        <f>(0.6362+0.6367)/2</f>
        <v>0.63644999999999996</v>
      </c>
      <c r="AG10">
        <f t="shared" si="14"/>
        <v>2.2926308879041523E-2</v>
      </c>
      <c r="AH10">
        <f t="shared" si="15"/>
        <v>6.8778926637124566E-2</v>
      </c>
      <c r="AI10">
        <f t="shared" si="25"/>
        <v>0.3279634792190767</v>
      </c>
      <c r="AJ10">
        <f t="shared" si="26"/>
        <v>0.11712981400681312</v>
      </c>
      <c r="AK10" s="3">
        <f t="shared" si="16"/>
        <v>0.10733621662327512</v>
      </c>
      <c r="AL10">
        <v>8</v>
      </c>
      <c r="AM10">
        <f t="shared" si="17"/>
        <v>0.16777216000000014</v>
      </c>
    </row>
    <row r="11" spans="1:39">
      <c r="A11">
        <v>67</v>
      </c>
      <c r="B11">
        <f>(0.5722+0.5714)/2</f>
        <v>0.57180000000000009</v>
      </c>
      <c r="C11">
        <f t="shared" si="0"/>
        <v>2.0804201542753985E-2</v>
      </c>
      <c r="D11">
        <f t="shared" si="1"/>
        <v>6.2412604628261946E-2</v>
      </c>
      <c r="E11">
        <f t="shared" si="18"/>
        <v>0.37200811283744512</v>
      </c>
      <c r="F11">
        <f t="shared" si="19"/>
        <v>5.8729107429037905E-2</v>
      </c>
      <c r="H11">
        <f>(0.6228+0.6248)/2</f>
        <v>0.62380000000000002</v>
      </c>
      <c r="I11">
        <f t="shared" si="2"/>
        <v>2.2511078286558343E-2</v>
      </c>
      <c r="J11">
        <f t="shared" si="3"/>
        <v>6.7533234859675023E-2</v>
      </c>
      <c r="K11">
        <f t="shared" si="20"/>
        <v>0.40252944743439534</v>
      </c>
      <c r="L11">
        <f t="shared" si="21"/>
        <v>6.7395529414379582E-2</v>
      </c>
      <c r="N11">
        <f>(0.7219+0.7241)/2</f>
        <v>0.72299999999999998</v>
      </c>
      <c r="O11">
        <f t="shared" si="4"/>
        <v>2.5767273920892824E-2</v>
      </c>
      <c r="P11">
        <f t="shared" si="5"/>
        <v>7.7301821762678469E-2</v>
      </c>
      <c r="Q11">
        <f t="shared" si="6"/>
        <v>0.46075476266550064</v>
      </c>
      <c r="R11">
        <f t="shared" si="22"/>
        <v>6.7690364779865231E-2</v>
      </c>
      <c r="S11" s="3">
        <f t="shared" si="7"/>
        <v>6.4605000541094235E-2</v>
      </c>
      <c r="T11">
        <f>(0.5706+0.5726)/2</f>
        <v>0.5716</v>
      </c>
      <c r="U11">
        <f t="shared" si="8"/>
        <v>2.0797636632200883E-2</v>
      </c>
      <c r="V11">
        <f t="shared" si="9"/>
        <v>6.239290989660265E-2</v>
      </c>
      <c r="W11">
        <f t="shared" si="10"/>
        <v>0.37189072308899518</v>
      </c>
      <c r="X11">
        <f t="shared" si="23"/>
        <v>0.12258536027407056</v>
      </c>
      <c r="Z11">
        <f>(0.8855+0.8867)/2</f>
        <v>0.8861</v>
      </c>
      <c r="AA11">
        <f t="shared" si="11"/>
        <v>3.1120958476940751E-2</v>
      </c>
      <c r="AB11">
        <f t="shared" si="12"/>
        <v>9.3362875430822251E-2</v>
      </c>
      <c r="AC11">
        <f t="shared" si="13"/>
        <v>0.55648610252632003</v>
      </c>
      <c r="AD11">
        <f t="shared" si="24"/>
        <v>9.4502579680082327E-2</v>
      </c>
      <c r="AF11">
        <f>(0.5173+0.5175)/2</f>
        <v>0.51739999999999997</v>
      </c>
      <c r="AG11">
        <f t="shared" si="14"/>
        <v>1.9018545872312487E-2</v>
      </c>
      <c r="AH11">
        <f t="shared" si="15"/>
        <v>5.7055637616937452E-2</v>
      </c>
      <c r="AI11">
        <f t="shared" si="25"/>
        <v>0.34007810125909688</v>
      </c>
      <c r="AJ11">
        <f t="shared" si="26"/>
        <v>0.12145646473539175</v>
      </c>
      <c r="AK11" s="3">
        <f t="shared" si="16"/>
        <v>0.11284813489651487</v>
      </c>
      <c r="AL11">
        <v>9</v>
      </c>
      <c r="AM11">
        <f t="shared" si="17"/>
        <v>0.13421772800000012</v>
      </c>
    </row>
    <row r="12" spans="1:39">
      <c r="A12">
        <v>73.5</v>
      </c>
      <c r="B12">
        <f>(0.486+0.4851)/2</f>
        <v>0.48554999999999998</v>
      </c>
      <c r="C12">
        <f t="shared" si="0"/>
        <v>1.7973083866732315E-2</v>
      </c>
      <c r="D12">
        <f t="shared" si="1"/>
        <v>5.3919251600196942E-2</v>
      </c>
      <c r="E12">
        <f t="shared" si="18"/>
        <v>0.40172972977308102</v>
      </c>
      <c r="F12">
        <f t="shared" si="19"/>
        <v>6.3421274007513601E-2</v>
      </c>
      <c r="H12">
        <f>(0.5396+0.5391)/2</f>
        <v>0.53935</v>
      </c>
      <c r="I12">
        <f t="shared" si="2"/>
        <v>1.9739044805514527E-2</v>
      </c>
      <c r="J12">
        <f t="shared" si="3"/>
        <v>5.9217134416543582E-2</v>
      </c>
      <c r="K12">
        <f t="shared" si="20"/>
        <v>0.44120203268932945</v>
      </c>
      <c r="L12">
        <f t="shared" si="21"/>
        <v>7.3870482672311846E-2</v>
      </c>
      <c r="N12">
        <f>(0.6264+0.6286)/2</f>
        <v>0.62749999999999995</v>
      </c>
      <c r="O12">
        <f t="shared" si="4"/>
        <v>2.263252913179058E-2</v>
      </c>
      <c r="P12">
        <f t="shared" si="5"/>
        <v>6.7897587395371731E-2</v>
      </c>
      <c r="Q12">
        <f t="shared" si="6"/>
        <v>0.50587644722589609</v>
      </c>
      <c r="R12">
        <f t="shared" si="22"/>
        <v>7.2776599402033765E-2</v>
      </c>
      <c r="S12" s="3">
        <f t="shared" si="7"/>
        <v>7.0022785360619746E-2</v>
      </c>
      <c r="T12">
        <f>(0.4986+0.4996)/2</f>
        <v>0.49909999999999999</v>
      </c>
      <c r="U12">
        <f t="shared" si="8"/>
        <v>1.8417856556704412E-2</v>
      </c>
      <c r="V12">
        <f t="shared" si="9"/>
        <v>5.5253569670113224E-2</v>
      </c>
      <c r="W12">
        <f t="shared" si="10"/>
        <v>0.41167117409492415</v>
      </c>
      <c r="X12">
        <f t="shared" si="23"/>
        <v>0.13569808564113986</v>
      </c>
      <c r="Z12">
        <f>(0.6807+0.6803)/2</f>
        <v>0.68049999999999999</v>
      </c>
      <c r="AA12">
        <f t="shared" si="11"/>
        <v>2.4372230428360411E-2</v>
      </c>
      <c r="AB12">
        <f t="shared" si="12"/>
        <v>7.3116691285081234E-2</v>
      </c>
      <c r="AC12">
        <f t="shared" si="13"/>
        <v>0.54476180139989527</v>
      </c>
      <c r="AD12">
        <f t="shared" si="24"/>
        <v>9.4502579680082327E-2</v>
      </c>
      <c r="AF12">
        <f>(0.4495+0.45)/2</f>
        <v>0.44974999999999998</v>
      </c>
      <c r="AG12">
        <f t="shared" si="14"/>
        <v>1.6797964877728538E-2</v>
      </c>
      <c r="AH12">
        <f t="shared" si="15"/>
        <v>5.039389463318561E-2</v>
      </c>
      <c r="AI12">
        <f t="shared" si="25"/>
        <v>0.37546377355743621</v>
      </c>
      <c r="AJ12">
        <f t="shared" si="26"/>
        <v>0.13409420484194151</v>
      </c>
      <c r="AK12" s="3">
        <f t="shared" si="16"/>
        <v>0.12143162338772123</v>
      </c>
      <c r="AL12">
        <v>10</v>
      </c>
      <c r="AM12">
        <f t="shared" si="17"/>
        <v>0.10737418240000011</v>
      </c>
    </row>
    <row r="13" spans="1:39">
      <c r="A13">
        <v>113</v>
      </c>
      <c r="B13">
        <f>(0.4212+0.4206)/2</f>
        <v>0.4209</v>
      </c>
      <c r="C13">
        <f t="shared" si="0"/>
        <v>1.5850976530444774E-2</v>
      </c>
      <c r="D13">
        <f t="shared" si="1"/>
        <v>4.7552929591334316E-2</v>
      </c>
      <c r="E13">
        <f t="shared" si="18"/>
        <v>0.44287116817510003</v>
      </c>
      <c r="F13">
        <f t="shared" si="19"/>
        <v>6.9916293530792428E-2</v>
      </c>
      <c r="H13">
        <f>(0.4375+0.4382)/2</f>
        <v>0.43784999999999996</v>
      </c>
      <c r="I13">
        <f t="shared" si="2"/>
        <v>1.6407352699819463E-2</v>
      </c>
      <c r="J13">
        <f t="shared" si="3"/>
        <v>4.9222058099458385E-2</v>
      </c>
      <c r="K13">
        <f t="shared" si="20"/>
        <v>0.458416138770602</v>
      </c>
      <c r="L13">
        <f t="shared" si="21"/>
        <v>7.6752641481157097E-2</v>
      </c>
      <c r="N13">
        <f>(0.5498+0.5504)/2</f>
        <v>0.55010000000000003</v>
      </c>
      <c r="O13">
        <f t="shared" si="4"/>
        <v>2.0091908747743314E-2</v>
      </c>
      <c r="P13">
        <f t="shared" si="5"/>
        <v>6.0275726243229931E-2</v>
      </c>
      <c r="Q13">
        <f t="shared" si="6"/>
        <v>0.56136144551662603</v>
      </c>
      <c r="R13">
        <f t="shared" si="22"/>
        <v>8.0758804376332233E-2</v>
      </c>
      <c r="S13" s="3">
        <f t="shared" si="7"/>
        <v>7.5809246462760591E-2</v>
      </c>
      <c r="T13">
        <f>(0.4004+0.4006)/2</f>
        <v>0.40049999999999997</v>
      </c>
      <c r="U13">
        <f t="shared" si="8"/>
        <v>1.5181355654029213E-2</v>
      </c>
      <c r="V13">
        <f t="shared" si="9"/>
        <v>4.5544066962087633E-2</v>
      </c>
      <c r="W13">
        <f t="shared" si="10"/>
        <v>0.42416217701591163</v>
      </c>
      <c r="X13">
        <f t="shared" si="23"/>
        <v>0.13981546205896273</v>
      </c>
      <c r="Z13">
        <f>(0.6834+0.6845)/2</f>
        <v>0.68395000000000006</v>
      </c>
      <c r="AA13">
        <f t="shared" si="11"/>
        <v>2.4485475135401284E-2</v>
      </c>
      <c r="AB13">
        <f t="shared" si="12"/>
        <v>7.345642540620384E-2</v>
      </c>
      <c r="AC13">
        <f t="shared" si="13"/>
        <v>0.68411627231355532</v>
      </c>
      <c r="AD13">
        <f t="shared" si="24"/>
        <v>0.11617676028431434</v>
      </c>
      <c r="AF13">
        <f>(0.3372+0.3376)/2</f>
        <v>0.33740000000000003</v>
      </c>
      <c r="AG13">
        <f t="shared" si="14"/>
        <v>1.3110126374528148E-2</v>
      </c>
      <c r="AH13">
        <f t="shared" si="15"/>
        <v>3.933037912358444E-2</v>
      </c>
      <c r="AI13">
        <f t="shared" si="25"/>
        <v>0.36629269945979487</v>
      </c>
      <c r="AJ13">
        <f t="shared" si="26"/>
        <v>0.13409420484194151</v>
      </c>
      <c r="AK13" s="3">
        <f t="shared" si="16"/>
        <v>0.13002880906173953</v>
      </c>
      <c r="AL13">
        <v>11</v>
      </c>
      <c r="AM13">
        <f t="shared" si="17"/>
        <v>8.5899345920000092E-2</v>
      </c>
    </row>
    <row r="14" spans="1:39">
      <c r="A14">
        <v>166</v>
      </c>
      <c r="B14">
        <f>(0.3948+0.3941)/2</f>
        <v>0.39444999999999997</v>
      </c>
      <c r="C14">
        <f t="shared" si="0"/>
        <v>1.4982767109798128E-2</v>
      </c>
      <c r="D14">
        <f t="shared" si="1"/>
        <v>4.4948301329394376E-2</v>
      </c>
      <c r="E14">
        <f t="shared" si="18"/>
        <v>0.5232670964835483</v>
      </c>
      <c r="F14">
        <f t="shared" si="19"/>
        <v>8.2608439071573295E-2</v>
      </c>
      <c r="H14">
        <f>(0.4499+0.4464)/2</f>
        <v>0.44815000000000005</v>
      </c>
      <c r="I14">
        <f t="shared" si="2"/>
        <v>1.6745445593303796E-2</v>
      </c>
      <c r="J14">
        <f t="shared" si="3"/>
        <v>5.0236336779911385E-2</v>
      </c>
      <c r="K14">
        <f t="shared" si="20"/>
        <v>0.58482793136396594</v>
      </c>
      <c r="L14">
        <f t="shared" si="21"/>
        <v>9.7917775461669271E-2</v>
      </c>
      <c r="N14">
        <f>(0.494+0.4934)/2</f>
        <v>0.49370000000000003</v>
      </c>
      <c r="O14">
        <f t="shared" si="4"/>
        <v>1.8240603971770887E-2</v>
      </c>
      <c r="P14">
        <f t="shared" si="5"/>
        <v>5.4721811915312661E-2</v>
      </c>
      <c r="Q14">
        <f t="shared" si="6"/>
        <v>0.63704573450741131</v>
      </c>
      <c r="R14">
        <f t="shared" si="22"/>
        <v>9.1646927773092288E-2</v>
      </c>
      <c r="S14" s="3">
        <f t="shared" si="7"/>
        <v>9.0724380768778298E-2</v>
      </c>
      <c r="T14">
        <f>(0.3383+0.3385)/2</f>
        <v>0.33840000000000003</v>
      </c>
      <c r="U14">
        <f t="shared" si="8"/>
        <v>1.3142950927293617E-2</v>
      </c>
      <c r="V14">
        <f t="shared" si="9"/>
        <v>3.9428852781880845E-2</v>
      </c>
      <c r="W14">
        <f t="shared" si="10"/>
        <v>0.45901225858694877</v>
      </c>
      <c r="X14">
        <f t="shared" si="23"/>
        <v>0.15130300272542888</v>
      </c>
      <c r="Z14">
        <f>(0.727+0.7261)/2</f>
        <v>0.72655000000000003</v>
      </c>
      <c r="AA14">
        <f t="shared" si="11"/>
        <v>2.5883801083210246E-2</v>
      </c>
      <c r="AB14">
        <f t="shared" si="12"/>
        <v>7.7651403249630727E-2</v>
      </c>
      <c r="AC14">
        <f t="shared" si="13"/>
        <v>0.90398130996188419</v>
      </c>
      <c r="AD14">
        <f t="shared" si="24"/>
        <v>0.1535142843390912</v>
      </c>
      <c r="AF14">
        <f>(0.313+0.3126)/2</f>
        <v>0.31279999999999997</v>
      </c>
      <c r="AG14">
        <f t="shared" si="14"/>
        <v>1.2302642376497619E-2</v>
      </c>
      <c r="AH14">
        <f t="shared" si="15"/>
        <v>3.6907927129492854E-2</v>
      </c>
      <c r="AI14">
        <f t="shared" si="25"/>
        <v>0.42966482147449642</v>
      </c>
      <c r="AJ14">
        <f t="shared" si="26"/>
        <v>0.15345172195517731</v>
      </c>
      <c r="AK14" s="3">
        <f t="shared" si="16"/>
        <v>0.15275633633989913</v>
      </c>
      <c r="AL14">
        <v>12</v>
      </c>
      <c r="AM14">
        <f t="shared" si="17"/>
        <v>6.8719476736000096E-2</v>
      </c>
    </row>
    <row r="15" spans="1:39">
      <c r="A15">
        <v>188</v>
      </c>
      <c r="B15">
        <f>(0.217+0.2174)/2</f>
        <v>0.2172</v>
      </c>
      <c r="C15">
        <f t="shared" si="0"/>
        <v>9.1646151321188255E-3</v>
      </c>
      <c r="D15">
        <f t="shared" si="1"/>
        <v>2.7493845396356475E-2</v>
      </c>
      <c r="E15">
        <f t="shared" si="18"/>
        <v>0.40008810750960311</v>
      </c>
      <c r="F15">
        <f t="shared" si="19"/>
        <v>8.2608439071573295E-2</v>
      </c>
      <c r="H15">
        <f>(0.2524+0.2517)/2</f>
        <v>0.25205</v>
      </c>
      <c r="I15">
        <f t="shared" si="2"/>
        <v>1.0308550795995405E-2</v>
      </c>
      <c r="J15">
        <f t="shared" si="3"/>
        <v>3.0925652387986211E-2</v>
      </c>
      <c r="K15">
        <f t="shared" si="20"/>
        <v>0.45002747193191561</v>
      </c>
      <c r="L15">
        <f t="shared" si="21"/>
        <v>9.7917775461669271E-2</v>
      </c>
      <c r="N15">
        <f>(0.2767+0.2763)/2</f>
        <v>0.27649999999999997</v>
      </c>
      <c r="O15">
        <f t="shared" si="4"/>
        <v>1.111111111111111E-2</v>
      </c>
      <c r="P15">
        <f t="shared" si="5"/>
        <v>3.3333333333333326E-2</v>
      </c>
      <c r="Q15">
        <f t="shared" si="6"/>
        <v>0.48506384094556093</v>
      </c>
      <c r="R15">
        <f t="shared" si="22"/>
        <v>9.1646927773092288E-2</v>
      </c>
      <c r="S15" s="3">
        <f t="shared" si="7"/>
        <v>9.0724380768778298E-2</v>
      </c>
      <c r="T15">
        <f>(0.1705+0.1709)/2</f>
        <v>0.17070000000000002</v>
      </c>
      <c r="U15">
        <f t="shared" si="8"/>
        <v>7.6382734285245371E-3</v>
      </c>
      <c r="V15">
        <f t="shared" ref="V15:V17" si="27">U15*0.6/0.2</f>
        <v>2.2914820285573609E-2</v>
      </c>
      <c r="W15">
        <f t="shared" si="10"/>
        <v>0.3334545222689278</v>
      </c>
      <c r="X15">
        <f t="shared" si="23"/>
        <v>0.15130300272542888</v>
      </c>
      <c r="Z15">
        <f>(0.3946+0.3927)/2</f>
        <v>0.39365</v>
      </c>
      <c r="AA15">
        <f t="shared" ref="AA15:AA17" si="28">(Z15+0.062)/30.465</f>
        <v>1.4956507467585754E-2</v>
      </c>
      <c r="AB15">
        <f t="shared" ref="AB15:AB17" si="29">AA15*0.6/0.2</f>
        <v>4.486952240275726E-2</v>
      </c>
      <c r="AC15">
        <f t="shared" si="13"/>
        <v>0.65293748634223003</v>
      </c>
      <c r="AD15">
        <f t="shared" si="24"/>
        <v>0.1535142843390912</v>
      </c>
      <c r="AF15">
        <f>(0.1579+0.1581)/2</f>
        <v>0.158</v>
      </c>
      <c r="AG15">
        <f t="shared" ref="AG15:AG17" si="30">(AF15+0.062)/30.465</f>
        <v>7.2214016084030854E-3</v>
      </c>
      <c r="AH15">
        <f t="shared" ref="AH15:AH17" si="31">AG15*0.6/0.2</f>
        <v>2.1664204825209255E-2</v>
      </c>
      <c r="AI15">
        <f t="shared" si="25"/>
        <v>0.31525567210642075</v>
      </c>
      <c r="AJ15">
        <f t="shared" si="26"/>
        <v>0.15345172195517731</v>
      </c>
      <c r="AK15" s="3">
        <f t="shared" si="16"/>
        <v>0.15275633633989913</v>
      </c>
      <c r="AL15">
        <v>13</v>
      </c>
      <c r="AM15">
        <f t="shared" si="17"/>
        <v>5.4975581388800078E-2</v>
      </c>
    </row>
    <row r="16" spans="1:39">
      <c r="A16">
        <v>237</v>
      </c>
      <c r="B16">
        <f>(0.2839+0.2853)/2</f>
        <v>0.28459999999999996</v>
      </c>
      <c r="C16">
        <f t="shared" si="0"/>
        <v>1.1376989988511405E-2</v>
      </c>
      <c r="D16">
        <f t="shared" si="1"/>
        <v>3.4130969965534212E-2</v>
      </c>
      <c r="E16">
        <f t="shared" si="18"/>
        <v>0.62083872700048537</v>
      </c>
      <c r="F16">
        <f t="shared" si="19"/>
        <v>9.8012121337931649E-2</v>
      </c>
      <c r="H16">
        <f>(0.3313+0.3309)/2</f>
        <v>0.33110000000000001</v>
      </c>
      <c r="I16">
        <f t="shared" si="2"/>
        <v>1.2903331692105694E-2</v>
      </c>
      <c r="J16">
        <f t="shared" si="3"/>
        <v>3.8709995076317082E-2</v>
      </c>
      <c r="K16">
        <f t="shared" si="20"/>
        <v>0.70413070855132953</v>
      </c>
      <c r="L16">
        <f t="shared" si="21"/>
        <v>0.11789264656835664</v>
      </c>
      <c r="N16">
        <f>(0.3412+0.3406)/2</f>
        <v>0.34089999999999998</v>
      </c>
      <c r="O16">
        <f t="shared" si="4"/>
        <v>1.3225012309207286E-2</v>
      </c>
      <c r="P16">
        <f t="shared" si="5"/>
        <v>3.9675036927621858E-2</v>
      </c>
      <c r="Q16">
        <f t="shared" si="6"/>
        <v>0.72168471756634611</v>
      </c>
      <c r="R16">
        <f t="shared" si="22"/>
        <v>0.10382329494269295</v>
      </c>
      <c r="S16" s="3">
        <f t="shared" si="7"/>
        <v>0.10657602094966041</v>
      </c>
      <c r="T16">
        <f>(0.2002+0.2004)/2</f>
        <v>0.20029999999999998</v>
      </c>
      <c r="U16">
        <f t="shared" si="8"/>
        <v>8.6098801903824046E-3</v>
      </c>
      <c r="V16">
        <f t="shared" si="27"/>
        <v>2.5829640571147214E-2</v>
      </c>
      <c r="W16">
        <f t="shared" si="10"/>
        <v>0.46983842496314859</v>
      </c>
      <c r="X16">
        <f t="shared" si="23"/>
        <v>0.15487160345467024</v>
      </c>
      <c r="Z16">
        <f>(0.4513+0.4514)/2</f>
        <v>0.45135000000000003</v>
      </c>
      <c r="AA16">
        <f t="shared" si="28"/>
        <v>1.685048416215329E-2</v>
      </c>
      <c r="AB16">
        <f t="shared" si="29"/>
        <v>5.0551452486459869E-2</v>
      </c>
      <c r="AC16">
        <f t="shared" si="13"/>
        <v>0.91952556406722197</v>
      </c>
      <c r="AD16">
        <f t="shared" si="24"/>
        <v>0.15615401263686601</v>
      </c>
      <c r="AF16">
        <f>(0.1918+0.1926)/2</f>
        <v>0.19219999999999998</v>
      </c>
      <c r="AG16">
        <f t="shared" si="30"/>
        <v>8.3440013129821109E-3</v>
      </c>
      <c r="AH16">
        <f t="shared" si="31"/>
        <v>2.5032003938946331E-2</v>
      </c>
      <c r="AI16">
        <f t="shared" si="25"/>
        <v>0.45532949914461451</v>
      </c>
      <c r="AJ16">
        <f t="shared" si="26"/>
        <v>0.16261767826593376</v>
      </c>
      <c r="AK16" s="3">
        <f t="shared" si="16"/>
        <v>0.15788109811915665</v>
      </c>
      <c r="AL16">
        <v>14</v>
      </c>
      <c r="AM16">
        <f t="shared" si="17"/>
        <v>4.3980465111040062E-2</v>
      </c>
    </row>
    <row r="17" spans="1:39">
      <c r="A17">
        <v>276</v>
      </c>
      <c r="B17">
        <f>(0.2577+0.2572)/2</f>
        <v>0.25744999999999996</v>
      </c>
      <c r="C17">
        <f t="shared" si="0"/>
        <v>1.0485803380928933E-2</v>
      </c>
      <c r="D17">
        <f t="shared" si="1"/>
        <v>3.1457410142786794E-2</v>
      </c>
      <c r="E17">
        <f t="shared" si="18"/>
        <v>0.71525869640906303</v>
      </c>
      <c r="F17">
        <f t="shared" si="19"/>
        <v>0.11291824928376464</v>
      </c>
      <c r="H17">
        <f>(0.2983+0.2992)/2</f>
        <v>0.29875000000000002</v>
      </c>
      <c r="I17">
        <f t="shared" si="2"/>
        <v>1.1841457410142787E-2</v>
      </c>
      <c r="J17">
        <f t="shared" si="3"/>
        <v>3.5524372230428362E-2</v>
      </c>
      <c r="K17">
        <f t="shared" si="20"/>
        <v>0.80773070818459725</v>
      </c>
      <c r="L17">
        <f t="shared" si="21"/>
        <v>0.13523840069172813</v>
      </c>
      <c r="N17">
        <f>(0.3052+0.3037)/2</f>
        <v>0.30445</v>
      </c>
      <c r="O17">
        <f t="shared" si="4"/>
        <v>1.2028557360905958E-2</v>
      </c>
      <c r="P17">
        <f t="shared" si="5"/>
        <v>3.6085672082717873E-2</v>
      </c>
      <c r="Q17">
        <f t="shared" si="6"/>
        <v>0.8204931892286782</v>
      </c>
      <c r="R17">
        <f t="shared" si="22"/>
        <v>0.11803811873836507</v>
      </c>
      <c r="S17" s="3">
        <f t="shared" si="7"/>
        <v>0.12206492290461927</v>
      </c>
      <c r="T17">
        <f>(0.1669+0.1662)/2</f>
        <v>0.16654999999999998</v>
      </c>
      <c r="U17">
        <f t="shared" si="8"/>
        <v>7.5020515345478409E-3</v>
      </c>
      <c r="V17">
        <f t="shared" si="27"/>
        <v>2.2506154603643521E-2</v>
      </c>
      <c r="W17">
        <f t="shared" si="10"/>
        <v>0.51173070923240382</v>
      </c>
      <c r="X17">
        <f t="shared" si="23"/>
        <v>0.16868044686220399</v>
      </c>
      <c r="Z17">
        <f>(0.3699+0.3689)/2</f>
        <v>0.36940000000000001</v>
      </c>
      <c r="AA17">
        <f t="shared" si="28"/>
        <v>1.4160512063023142E-2</v>
      </c>
      <c r="AB17">
        <f t="shared" si="29"/>
        <v>4.248153618906942E-2</v>
      </c>
      <c r="AC17">
        <f t="shared" si="13"/>
        <v>0.96591830217833741</v>
      </c>
      <c r="AD17">
        <f t="shared" si="24"/>
        <v>0.16403243657237754</v>
      </c>
      <c r="AF17">
        <f>(0.1661+0.1615)/2</f>
        <v>0.1638</v>
      </c>
      <c r="AG17">
        <f t="shared" si="30"/>
        <v>7.4117840144428031E-3</v>
      </c>
      <c r="AH17">
        <f t="shared" si="31"/>
        <v>2.223535204332841E-2</v>
      </c>
      <c r="AI17">
        <f t="shared" si="25"/>
        <v>0.50557337188657536</v>
      </c>
      <c r="AJ17">
        <f t="shared" si="26"/>
        <v>0.1805619185309198</v>
      </c>
      <c r="AK17" s="3">
        <f t="shared" si="16"/>
        <v>0.17109160065516713</v>
      </c>
      <c r="AL17">
        <v>15</v>
      </c>
      <c r="AM17">
        <f t="shared" si="17"/>
        <v>3.5184372088832058E-2</v>
      </c>
    </row>
    <row r="18" spans="1:39">
      <c r="A18">
        <v>305</v>
      </c>
      <c r="B18">
        <f>0.2025</f>
        <v>0.20250000000000001</v>
      </c>
      <c r="C18">
        <f t="shared" ref="C18:C29" si="32">(B18+0.062)/30.465</f>
        <v>8.6820942064664373E-3</v>
      </c>
      <c r="D18">
        <f t="shared" ref="D18:D29" si="33">C18*0.6/0.2</f>
        <v>2.604628261939931E-2</v>
      </c>
      <c r="E18">
        <f t="shared" si="18"/>
        <v>0.7402798763507481</v>
      </c>
      <c r="F18">
        <f t="shared" si="19"/>
        <v>0.11686835551555701</v>
      </c>
      <c r="H18">
        <f>(0.2267+0.2255)/2</f>
        <v>0.22610000000000002</v>
      </c>
      <c r="I18">
        <f t="shared" ref="I18:I21" si="34">(H18+0.062)/30.465</f>
        <v>9.4567536517314952E-3</v>
      </c>
      <c r="J18">
        <f t="shared" ref="J18:J21" si="35">I18*0.6/0.2</f>
        <v>2.8370260955194484E-2</v>
      </c>
      <c r="K18">
        <f t="shared" si="20"/>
        <v>0.80633131333327235</v>
      </c>
      <c r="L18">
        <f t="shared" si="21"/>
        <v>0.13523840069172813</v>
      </c>
      <c r="N18">
        <f>(0.2547+0.2531)/2</f>
        <v>0.25390000000000001</v>
      </c>
      <c r="O18">
        <f t="shared" ref="O18:O21" si="36">(N18+0.062)/30.465</f>
        <v>1.0369276218611521E-2</v>
      </c>
      <c r="P18">
        <f t="shared" ref="P18:P21" si="37">O18*0.6/0.2</f>
        <v>3.1107828655834561E-2</v>
      </c>
      <c r="Q18">
        <f t="shared" si="6"/>
        <v>0.88413766706692365</v>
      </c>
      <c r="R18">
        <f t="shared" si="22"/>
        <v>0.12719416601667866</v>
      </c>
      <c r="S18" s="3">
        <f t="shared" si="7"/>
        <v>0.12643364074132127</v>
      </c>
      <c r="T18">
        <v>0.12859999999999999</v>
      </c>
      <c r="U18">
        <f t="shared" ref="U18:U29" si="38">(T18+0.062)/30.465</f>
        <v>6.2563597570983089E-3</v>
      </c>
      <c r="V18">
        <f t="shared" ref="V18:V29" si="39">U18*0.6/0.2</f>
        <v>1.8769079271294925E-2</v>
      </c>
      <c r="W18">
        <f t="shared" si="10"/>
        <v>0.53344931732496248</v>
      </c>
      <c r="X18">
        <f t="shared" si="23"/>
        <v>0.1758394944866335</v>
      </c>
      <c r="Z18">
        <v>0.29270000000000002</v>
      </c>
      <c r="AA18">
        <f t="shared" ref="AA18:AA29" si="40">(Z18+0.062)/30.465</f>
        <v>1.1642868865911702E-2</v>
      </c>
      <c r="AB18">
        <f t="shared" ref="AB18:AB29" si="41">AA18*0.6/0.2</f>
        <v>3.4928606597735105E-2</v>
      </c>
      <c r="AC18">
        <f t="shared" si="13"/>
        <v>0.99273070752971782</v>
      </c>
      <c r="AD18">
        <f t="shared" si="24"/>
        <v>0.16858572453703724</v>
      </c>
      <c r="AF18">
        <v>0.1183</v>
      </c>
      <c r="AG18">
        <f t="shared" ref="AG18:AG29" si="42">(AF18+0.062)/30.465</f>
        <v>5.9182668636139834E-3</v>
      </c>
      <c r="AH18">
        <f t="shared" ref="AH18:AH29" si="43">AG18*0.6/0.2</f>
        <v>1.7754800590841946E-2</v>
      </c>
      <c r="AI18">
        <f t="shared" si="25"/>
        <v>0.50462178338767438</v>
      </c>
      <c r="AJ18">
        <f t="shared" si="26"/>
        <v>0.1805619185309198</v>
      </c>
      <c r="AK18" s="3">
        <f t="shared" si="16"/>
        <v>0.17499571251819682</v>
      </c>
      <c r="AL18">
        <v>16</v>
      </c>
      <c r="AM18">
        <f t="shared" si="17"/>
        <v>2.8147497671065648E-2</v>
      </c>
    </row>
    <row r="19" spans="1:39">
      <c r="A19">
        <v>376</v>
      </c>
      <c r="B19">
        <v>0.16669999999999999</v>
      </c>
      <c r="C19">
        <f t="shared" si="32"/>
        <v>7.5069752174626615E-3</v>
      </c>
      <c r="D19">
        <f t="shared" si="33"/>
        <v>2.2520925652387981E-2</v>
      </c>
      <c r="E19">
        <f t="shared" si="18"/>
        <v>0.80010400624487743</v>
      </c>
      <c r="F19">
        <f t="shared" si="19"/>
        <v>0.12631282091875182</v>
      </c>
      <c r="H19">
        <v>0.22020000000000001</v>
      </c>
      <c r="I19">
        <f t="shared" si="34"/>
        <v>9.2630887904152307E-3</v>
      </c>
      <c r="J19">
        <f t="shared" si="35"/>
        <v>2.7789266371245687E-2</v>
      </c>
      <c r="K19">
        <f t="shared" si="20"/>
        <v>0.98727306760955147</v>
      </c>
      <c r="L19">
        <f t="shared" si="21"/>
        <v>0.16529918864867316</v>
      </c>
      <c r="N19">
        <v>0.24129999999999999</v>
      </c>
      <c r="O19">
        <f t="shared" si="36"/>
        <v>9.9556868537666182E-3</v>
      </c>
      <c r="P19">
        <f t="shared" si="37"/>
        <v>2.9867060561299851E-2</v>
      </c>
      <c r="Q19">
        <f t="shared" si="6"/>
        <v>1.0610911460169277</v>
      </c>
      <c r="R19">
        <f t="shared" si="22"/>
        <v>0.15265111804708228</v>
      </c>
      <c r="S19" s="3">
        <f t="shared" si="7"/>
        <v>0.14808770920483574</v>
      </c>
      <c r="T19">
        <v>0.11260000000000001</v>
      </c>
      <c r="U19">
        <f t="shared" si="38"/>
        <v>5.7311669128508125E-3</v>
      </c>
      <c r="V19">
        <f t="shared" si="39"/>
        <v>1.7193500738552435E-2</v>
      </c>
      <c r="W19">
        <f t="shared" si="10"/>
        <v>0.61083585260321649</v>
      </c>
      <c r="X19">
        <f t="shared" si="23"/>
        <v>0.20134821443708165</v>
      </c>
      <c r="Z19">
        <f>(0.2457+0.2446)/2</f>
        <v>0.24515000000000001</v>
      </c>
      <c r="AA19">
        <f t="shared" si="40"/>
        <v>1.0082061381913672E-2</v>
      </c>
      <c r="AB19">
        <f t="shared" si="41"/>
        <v>3.0246184145741015E-2</v>
      </c>
      <c r="AC19">
        <f t="shared" si="13"/>
        <v>1.0745603214609276</v>
      </c>
      <c r="AD19">
        <f t="shared" si="24"/>
        <v>0.18248204571310611</v>
      </c>
      <c r="AF19">
        <f>(0.1049+0.1056)/2</f>
        <v>0.10525</v>
      </c>
      <c r="AG19">
        <f t="shared" si="42"/>
        <v>5.4899064500246184E-3</v>
      </c>
      <c r="AH19">
        <f t="shared" si="43"/>
        <v>1.6469719350073853E-2</v>
      </c>
      <c r="AI19">
        <f t="shared" si="25"/>
        <v>0.58512197221012574</v>
      </c>
      <c r="AJ19">
        <f t="shared" si="26"/>
        <v>0.20897213293218778</v>
      </c>
      <c r="AK19" s="3">
        <f t="shared" si="16"/>
        <v>0.19760079769412517</v>
      </c>
      <c r="AL19">
        <v>17</v>
      </c>
      <c r="AM19">
        <f t="shared" si="17"/>
        <v>2.251799813685252E-2</v>
      </c>
    </row>
    <row r="20" spans="1:39">
      <c r="A20">
        <v>408.5</v>
      </c>
      <c r="B20">
        <v>0.17280000000000001</v>
      </c>
      <c r="C20">
        <f t="shared" si="32"/>
        <v>7.7072049893320204E-3</v>
      </c>
      <c r="D20">
        <f t="shared" si="33"/>
        <v>2.3121614967996057E-2</v>
      </c>
      <c r="E20">
        <f t="shared" si="18"/>
        <v>1.0268059721594731</v>
      </c>
      <c r="F20">
        <f t="shared" si="19"/>
        <v>0.16210237402559532</v>
      </c>
      <c r="H20">
        <f>(0.2139+0.215)/2</f>
        <v>0.21445</v>
      </c>
      <c r="I20">
        <f t="shared" si="34"/>
        <v>9.0743476120137851E-3</v>
      </c>
      <c r="J20">
        <f t="shared" si="35"/>
        <v>2.7223042836041354E-2</v>
      </c>
      <c r="K20">
        <f t="shared" si="20"/>
        <v>1.2089459582771991</v>
      </c>
      <c r="L20">
        <f t="shared" si="21"/>
        <v>0.2024138939667155</v>
      </c>
      <c r="N20">
        <f>(0.2259+0.2266)/2</f>
        <v>0.22625000000000001</v>
      </c>
      <c r="O20">
        <f t="shared" si="36"/>
        <v>9.4616773346463158E-3</v>
      </c>
      <c r="P20">
        <f t="shared" si="37"/>
        <v>2.8385032003938944E-2</v>
      </c>
      <c r="Q20">
        <f t="shared" ref="Q20:Q23" si="44">IF(P20-P19&gt;0,Q19+(P20-P19*0.8)/AM19,P20/AM19)</f>
        <v>1.2605486434197963</v>
      </c>
      <c r="R20">
        <f t="shared" si="22"/>
        <v>0.18134555216399384</v>
      </c>
      <c r="S20" s="3">
        <f t="shared" si="7"/>
        <v>0.18195394005210155</v>
      </c>
      <c r="T20">
        <v>8.6900000000000005E-2</v>
      </c>
      <c r="U20">
        <f t="shared" si="38"/>
        <v>4.8875759067782704E-3</v>
      </c>
      <c r="V20">
        <f t="shared" si="39"/>
        <v>1.466272772033481E-2</v>
      </c>
      <c r="W20">
        <f t="shared" si="10"/>
        <v>0.65115591675700835</v>
      </c>
      <c r="X20">
        <f t="shared" si="23"/>
        <v>0.21463881106587526</v>
      </c>
      <c r="Z20">
        <v>0.2225</v>
      </c>
      <c r="AA20">
        <f t="shared" si="40"/>
        <v>9.3385852617758076E-3</v>
      </c>
      <c r="AB20">
        <f t="shared" si="41"/>
        <v>2.8015755785327421E-2</v>
      </c>
      <c r="AC20">
        <f t="shared" si="13"/>
        <v>1.2441494850058352</v>
      </c>
      <c r="AD20">
        <f t="shared" si="24"/>
        <v>0.21128171091233386</v>
      </c>
      <c r="AF20">
        <v>8.9399999999999993E-2</v>
      </c>
      <c r="AG20">
        <f t="shared" si="42"/>
        <v>4.9696372886919409E-3</v>
      </c>
      <c r="AH20">
        <f t="shared" si="43"/>
        <v>1.4908911866075823E-2</v>
      </c>
      <c r="AI20">
        <f t="shared" si="25"/>
        <v>0.66208868903298224</v>
      </c>
      <c r="AJ20">
        <f t="shared" si="26"/>
        <v>0.23646024608320795</v>
      </c>
      <c r="AK20" s="3">
        <f t="shared" si="16"/>
        <v>0.22079358935380569</v>
      </c>
      <c r="AL20">
        <v>18</v>
      </c>
      <c r="AM20">
        <f t="shared" si="17"/>
        <v>1.8014398509482017E-2</v>
      </c>
    </row>
    <row r="21" spans="1:39">
      <c r="A21">
        <v>452</v>
      </c>
      <c r="B21">
        <v>0.14449999999999999</v>
      </c>
      <c r="C21">
        <f t="shared" si="32"/>
        <v>6.7782701460692594E-3</v>
      </c>
      <c r="D21">
        <f t="shared" si="33"/>
        <v>2.0334810438207777E-2</v>
      </c>
      <c r="E21">
        <f t="shared" si="18"/>
        <v>1.1288087374943101</v>
      </c>
      <c r="F21">
        <f t="shared" si="19"/>
        <v>0.17820560176898126</v>
      </c>
      <c r="H21">
        <f>(0.1543+0.1538)/2</f>
        <v>0.15404999999999999</v>
      </c>
      <c r="I21">
        <f t="shared" si="34"/>
        <v>7.0917446249794845E-3</v>
      </c>
      <c r="J21">
        <f t="shared" si="35"/>
        <v>2.1275233874938453E-2</v>
      </c>
      <c r="K21">
        <f t="shared" si="20"/>
        <v>1.1810127251120859</v>
      </c>
      <c r="L21">
        <f t="shared" si="21"/>
        <v>0.2024138939667155</v>
      </c>
      <c r="N21">
        <f>(0.1494+0.1485)/2</f>
        <v>0.14895</v>
      </c>
      <c r="O21">
        <f t="shared" si="36"/>
        <v>6.9243394058755951E-3</v>
      </c>
      <c r="P21">
        <f t="shared" si="37"/>
        <v>2.0773018217626782E-2</v>
      </c>
      <c r="Q21">
        <f t="shared" si="44"/>
        <v>1.1531341558083521</v>
      </c>
      <c r="R21">
        <f t="shared" si="22"/>
        <v>0.18134555216399384</v>
      </c>
      <c r="S21" s="3">
        <f t="shared" si="7"/>
        <v>0.18732168263323021</v>
      </c>
      <c r="T21">
        <v>6.3500000000000001E-2</v>
      </c>
      <c r="U21">
        <f t="shared" si="38"/>
        <v>4.1194813720663052E-3</v>
      </c>
      <c r="V21">
        <f t="shared" si="39"/>
        <v>1.2358444116198913E-2</v>
      </c>
      <c r="W21">
        <f t="shared" si="10"/>
        <v>0.68603146031736506</v>
      </c>
      <c r="X21">
        <f t="shared" si="23"/>
        <v>0.2261347447008675</v>
      </c>
      <c r="Z21">
        <v>0.16950000000000001</v>
      </c>
      <c r="AA21">
        <f t="shared" si="40"/>
        <v>7.5988839652059749E-3</v>
      </c>
      <c r="AB21">
        <f t="shared" si="41"/>
        <v>2.2796651895617921E-2</v>
      </c>
      <c r="AC21">
        <f t="shared" si="13"/>
        <v>1.2654683909439846</v>
      </c>
      <c r="AD21">
        <f t="shared" si="24"/>
        <v>0.21490209172322186</v>
      </c>
      <c r="AF21">
        <v>5.4399999999999997E-2</v>
      </c>
      <c r="AG21">
        <f t="shared" si="42"/>
        <v>3.8207779419005415E-3</v>
      </c>
      <c r="AH21">
        <f t="shared" si="43"/>
        <v>1.1462333825701623E-2</v>
      </c>
      <c r="AI21">
        <f t="shared" si="25"/>
        <v>0.63628734646168372</v>
      </c>
      <c r="AJ21">
        <f t="shared" si="26"/>
        <v>0.23646024608320795</v>
      </c>
      <c r="AK21" s="3">
        <f t="shared" si="16"/>
        <v>0.22583236083576577</v>
      </c>
      <c r="AL21">
        <v>19</v>
      </c>
      <c r="AM21">
        <f t="shared" si="17"/>
        <v>1.4411518807585615E-2</v>
      </c>
    </row>
    <row r="22" spans="1:39">
      <c r="A22">
        <v>500</v>
      </c>
      <c r="B22">
        <v>0.13300000000000001</v>
      </c>
      <c r="C22">
        <f t="shared" si="32"/>
        <v>6.4007877892663717E-3</v>
      </c>
      <c r="D22">
        <f t="shared" si="33"/>
        <v>1.9202363367799111E-2</v>
      </c>
      <c r="E22">
        <f t="shared" si="18"/>
        <v>1.3324316211343248</v>
      </c>
      <c r="F22">
        <f t="shared" si="19"/>
        <v>0.2103516485771873</v>
      </c>
      <c r="H22">
        <v>0.1123</v>
      </c>
      <c r="I22">
        <f t="shared" ref="I22:I29" si="45">(H22+0.062)/30.465</f>
        <v>5.7213195470211722E-3</v>
      </c>
      <c r="J22">
        <f t="shared" ref="J22:J29" si="46">I22*0.6/0.2</f>
        <v>1.7163958641063515E-2</v>
      </c>
      <c r="K22">
        <f t="shared" si="20"/>
        <v>1.1909888798139119</v>
      </c>
      <c r="L22">
        <f t="shared" si="21"/>
        <v>0.2024138939667155</v>
      </c>
      <c r="N22">
        <v>0.11387</v>
      </c>
      <c r="O22">
        <f t="shared" ref="O22:O29" si="47">(N22+0.062)/30.465</f>
        <v>5.7728540948629578E-3</v>
      </c>
      <c r="P22">
        <f t="shared" ref="P22:P29" si="48">O22*0.6/0.2</f>
        <v>1.7318562284588872E-2</v>
      </c>
      <c r="Q22">
        <f t="shared" si="44"/>
        <v>1.2017166626097113</v>
      </c>
      <c r="R22">
        <f t="shared" si="22"/>
        <v>0.18134555216399384</v>
      </c>
      <c r="S22" s="3">
        <f t="shared" si="7"/>
        <v>0.19803703156929889</v>
      </c>
      <c r="T22">
        <v>6.13E-2</v>
      </c>
      <c r="U22">
        <f t="shared" si="38"/>
        <v>4.0472673559822743E-3</v>
      </c>
      <c r="V22">
        <f t="shared" si="39"/>
        <v>1.2141802067946822E-2</v>
      </c>
      <c r="W22">
        <f t="shared" si="10"/>
        <v>0.84250676351724219</v>
      </c>
      <c r="X22">
        <f t="shared" si="23"/>
        <v>0.27771328706789805</v>
      </c>
      <c r="Z22">
        <v>0.16145000000000001</v>
      </c>
      <c r="AA22">
        <f t="shared" si="40"/>
        <v>7.3346463154439524E-3</v>
      </c>
      <c r="AB22">
        <f t="shared" si="41"/>
        <v>2.2003938946331857E-2</v>
      </c>
      <c r="AC22">
        <f t="shared" si="13"/>
        <v>1.5268299781664867</v>
      </c>
      <c r="AD22">
        <f t="shared" si="24"/>
        <v>0.25928656801055033</v>
      </c>
      <c r="AF22">
        <v>4.3209999999999998E-2</v>
      </c>
      <c r="AG22">
        <f t="shared" si="42"/>
        <v>3.4534711964549483E-3</v>
      </c>
      <c r="AH22">
        <f t="shared" si="43"/>
        <v>1.0360413589364844E-2</v>
      </c>
      <c r="AI22">
        <f t="shared" si="25"/>
        <v>0.71889810697201184</v>
      </c>
      <c r="AJ22">
        <f t="shared" si="26"/>
        <v>0.25674932391857569</v>
      </c>
      <c r="AK22" s="3">
        <f t="shared" si="16"/>
        <v>0.26458305966567469</v>
      </c>
      <c r="AL22">
        <v>20</v>
      </c>
      <c r="AM22">
        <f t="shared" si="17"/>
        <v>1.1529215046068495E-2</v>
      </c>
    </row>
    <row r="23" spans="1:39">
      <c r="A23">
        <v>548</v>
      </c>
      <c r="B23">
        <v>0.12765000000000001</v>
      </c>
      <c r="C23">
        <f t="shared" si="32"/>
        <v>6.2251764319711149E-3</v>
      </c>
      <c r="D23">
        <f t="shared" si="33"/>
        <v>1.8675529295913342E-2</v>
      </c>
      <c r="E23">
        <f t="shared" si="18"/>
        <v>1.6198439547956707</v>
      </c>
      <c r="F23">
        <f t="shared" si="19"/>
        <v>0.25572557790168948</v>
      </c>
      <c r="H23">
        <v>0.12872</v>
      </c>
      <c r="I23">
        <f t="shared" si="45"/>
        <v>6.2602987034301658E-3</v>
      </c>
      <c r="J23">
        <f t="shared" si="46"/>
        <v>1.8780896110290497E-2</v>
      </c>
      <c r="K23">
        <f>IF(K3-J22&gt;0,K22+(J23-J22*0.8)/AM22,J23/AM22)</f>
        <v>1.6289830691201181</v>
      </c>
      <c r="L23">
        <f t="shared" si="21"/>
        <v>0.27274073251076691</v>
      </c>
      <c r="N23">
        <v>0.13452</v>
      </c>
      <c r="O23">
        <f t="shared" si="47"/>
        <v>6.4506811094698835E-3</v>
      </c>
      <c r="P23">
        <f t="shared" si="48"/>
        <v>1.9352043328409649E-2</v>
      </c>
      <c r="Q23">
        <f t="shared" si="44"/>
        <v>1.6785221934956249</v>
      </c>
      <c r="R23">
        <f t="shared" si="22"/>
        <v>0.24147622988445944</v>
      </c>
      <c r="S23" s="3">
        <f t="shared" si="7"/>
        <v>0.25664751343230524</v>
      </c>
      <c r="T23">
        <v>5.8720000000000001E-2</v>
      </c>
      <c r="U23">
        <f t="shared" si="38"/>
        <v>3.9625800098473654E-3</v>
      </c>
      <c r="V23">
        <f t="shared" si="39"/>
        <v>1.1887740029542095E-2</v>
      </c>
      <c r="W23">
        <f t="shared" si="10"/>
        <v>1.0310970852777925</v>
      </c>
      <c r="X23">
        <f t="shared" si="23"/>
        <v>0.33987781847969023</v>
      </c>
      <c r="Z23">
        <v>0.15851999999999999</v>
      </c>
      <c r="AA23">
        <f t="shared" si="40"/>
        <v>7.2384703758411294E-3</v>
      </c>
      <c r="AB23">
        <f t="shared" si="41"/>
        <v>2.1715411127523385E-2</v>
      </c>
      <c r="AC23">
        <f t="shared" si="13"/>
        <v>1.8835116736701358</v>
      </c>
      <c r="AD23">
        <f t="shared" si="24"/>
        <v>0.319858323885022</v>
      </c>
      <c r="AF23">
        <v>4.1980000000000003E-2</v>
      </c>
      <c r="AG23">
        <f t="shared" si="42"/>
        <v>3.4130969965534223E-3</v>
      </c>
      <c r="AH23">
        <f t="shared" si="43"/>
        <v>1.0239290989660265E-2</v>
      </c>
      <c r="AI23">
        <f t="shared" si="25"/>
        <v>0.8881169228560708</v>
      </c>
      <c r="AJ23">
        <f t="shared" si="26"/>
        <v>0.3171846153057396</v>
      </c>
      <c r="AK23" s="3">
        <f t="shared" si="16"/>
        <v>0.32564025255681728</v>
      </c>
      <c r="AL23">
        <v>21</v>
      </c>
      <c r="AM23">
        <f t="shared" si="17"/>
        <v>9.2233720368547975E-3</v>
      </c>
    </row>
    <row r="24" spans="1:39">
      <c r="A24">
        <v>620</v>
      </c>
      <c r="B24">
        <v>0.18759999999999999</v>
      </c>
      <c r="C24">
        <f t="shared" si="32"/>
        <v>8.1930083702609555E-3</v>
      </c>
      <c r="D24">
        <f t="shared" si="33"/>
        <v>2.4579025110782863E-2</v>
      </c>
      <c r="E24">
        <f t="shared" si="18"/>
        <v>2.6648632422686482</v>
      </c>
      <c r="F24">
        <f t="shared" si="19"/>
        <v>0.42070329715437438</v>
      </c>
      <c r="H24">
        <v>0.17796999999999999</v>
      </c>
      <c r="I24">
        <f t="shared" si="45"/>
        <v>7.8769079271294919E-3</v>
      </c>
      <c r="J24">
        <f t="shared" si="46"/>
        <v>2.3630723781388474E-2</v>
      </c>
      <c r="K24">
        <f t="shared" ref="K24:K29" si="49">IF(K4-J23&gt;0,K23+(J24-J23*0.8)/AM23,J24/AM23)</f>
        <v>2.5620482061186203</v>
      </c>
      <c r="L24">
        <f t="shared" si="21"/>
        <v>0.42896388410109532</v>
      </c>
      <c r="N24">
        <v>0.17763000000000001</v>
      </c>
      <c r="O24">
        <f t="shared" si="47"/>
        <v>7.8657475791892341E-3</v>
      </c>
      <c r="P24">
        <f t="shared" si="48"/>
        <v>2.3597242737567699E-2</v>
      </c>
      <c r="Q24">
        <f>IF(P24-P23&gt;0,Q23+(P24-P23*0.8)/AM23,P24/AM23)</f>
        <v>2.5584181840738633</v>
      </c>
      <c r="R24">
        <f t="shared" si="22"/>
        <v>0.3680601781448008</v>
      </c>
      <c r="S24" s="3">
        <f t="shared" si="7"/>
        <v>0.40590911980009015</v>
      </c>
      <c r="T24">
        <v>5.3100000000000001E-2</v>
      </c>
      <c r="U24">
        <f t="shared" si="38"/>
        <v>3.7781060233054329E-3</v>
      </c>
      <c r="V24">
        <f t="shared" si="39"/>
        <v>1.1334318069916298E-2</v>
      </c>
      <c r="W24">
        <f t="shared" si="10"/>
        <v>1.228869227504493</v>
      </c>
      <c r="X24">
        <f t="shared" si="23"/>
        <v>0.40506892920614174</v>
      </c>
      <c r="Z24">
        <v>0.15321000000000001</v>
      </c>
      <c r="AA24">
        <f t="shared" si="40"/>
        <v>7.0641720006564919E-3</v>
      </c>
      <c r="AB24">
        <f t="shared" si="41"/>
        <v>2.1192516001969475E-2</v>
      </c>
      <c r="AC24">
        <f t="shared" si="13"/>
        <v>2.2976971889769069</v>
      </c>
      <c r="AD24">
        <f t="shared" si="24"/>
        <v>0.39019538977924673</v>
      </c>
      <c r="AF24">
        <v>3.56E-2</v>
      </c>
      <c r="AG24">
        <f t="shared" si="42"/>
        <v>3.2036763499097322E-3</v>
      </c>
      <c r="AH24">
        <f t="shared" si="43"/>
        <v>9.6110290497291966E-3</v>
      </c>
      <c r="AI24">
        <f t="shared" si="25"/>
        <v>1.0420298575537663</v>
      </c>
      <c r="AJ24">
        <f t="shared" si="26"/>
        <v>0.37215352055491657</v>
      </c>
      <c r="AK24" s="3">
        <f t="shared" si="16"/>
        <v>0.38913927984676838</v>
      </c>
      <c r="AL24">
        <v>22</v>
      </c>
      <c r="AM24">
        <f t="shared" si="17"/>
        <v>7.3786976294838375E-3</v>
      </c>
    </row>
    <row r="25" spans="1:39">
      <c r="A25">
        <v>716</v>
      </c>
      <c r="B25">
        <v>0.17423</v>
      </c>
      <c r="C25">
        <f t="shared" si="32"/>
        <v>7.75414409978664E-3</v>
      </c>
      <c r="D25">
        <f t="shared" si="33"/>
        <v>2.3262432299359918E-2</v>
      </c>
      <c r="E25">
        <f t="shared" si="18"/>
        <v>3.1526474545328669</v>
      </c>
      <c r="F25">
        <f t="shared" si="19"/>
        <v>0.49771003549067444</v>
      </c>
      <c r="H25">
        <v>0.16231000000000001</v>
      </c>
      <c r="I25">
        <f t="shared" si="45"/>
        <v>7.3628754308222551E-3</v>
      </c>
      <c r="J25">
        <f t="shared" si="46"/>
        <v>2.2088626292466763E-2</v>
      </c>
      <c r="K25">
        <f t="shared" si="49"/>
        <v>2.9935670766891058</v>
      </c>
      <c r="L25">
        <f t="shared" si="21"/>
        <v>0.50121311436177807</v>
      </c>
      <c r="N25">
        <v>0.17265</v>
      </c>
      <c r="O25">
        <f t="shared" si="47"/>
        <v>7.7022813064171998E-3</v>
      </c>
      <c r="P25">
        <f t="shared" si="48"/>
        <v>2.3106843919251597E-2</v>
      </c>
      <c r="Q25">
        <f t="shared" ref="Q25:Q29" si="50">IF(P25-P24&gt;0,Q24+(P25-P24*0.8)/AM24,P25/AM24)</f>
        <v>3.131561297066999</v>
      </c>
      <c r="R25">
        <f t="shared" si="22"/>
        <v>0.45051392147100477</v>
      </c>
      <c r="S25" s="3">
        <f t="shared" si="7"/>
        <v>0.48314569044115241</v>
      </c>
      <c r="T25">
        <v>4.8599999999999997E-2</v>
      </c>
      <c r="U25">
        <f t="shared" si="38"/>
        <v>3.6303955358608238E-3</v>
      </c>
      <c r="V25">
        <f t="shared" si="39"/>
        <v>1.0891186607582471E-2</v>
      </c>
      <c r="W25">
        <f t="shared" si="10"/>
        <v>1.4760310226107398</v>
      </c>
      <c r="X25">
        <f t="shared" si="23"/>
        <v>0.48654022122284185</v>
      </c>
      <c r="Z25">
        <v>0.14000000000000001</v>
      </c>
      <c r="AA25">
        <f t="shared" si="40"/>
        <v>6.6305596586246516E-3</v>
      </c>
      <c r="AB25">
        <f t="shared" si="41"/>
        <v>1.9891678975873954E-2</v>
      </c>
      <c r="AC25">
        <f t="shared" si="13"/>
        <v>2.6958251950033407</v>
      </c>
      <c r="AD25">
        <f t="shared" si="24"/>
        <v>0.45780556628065516</v>
      </c>
      <c r="AF25">
        <v>3.2899999999999999E-2</v>
      </c>
      <c r="AG25">
        <f t="shared" si="42"/>
        <v>3.1150500574429673E-3</v>
      </c>
      <c r="AH25">
        <f t="shared" si="43"/>
        <v>9.3451501723289011E-3</v>
      </c>
      <c r="AI25">
        <f>IF(AH25-AH24&gt;0,AI24+(AH25-AH24*0.8)/AM24,AH25/AM24)</f>
        <v>1.2665040148802822</v>
      </c>
      <c r="AJ25">
        <f t="shared" si="26"/>
        <v>0.45232286245724368</v>
      </c>
      <c r="AK25" s="3">
        <f t="shared" si="16"/>
        <v>0.46555621665358027</v>
      </c>
      <c r="AL25">
        <v>23</v>
      </c>
      <c r="AM25">
        <f t="shared" si="17"/>
        <v>5.902958103587071E-3</v>
      </c>
    </row>
    <row r="26" spans="1:39">
      <c r="A26">
        <v>788</v>
      </c>
      <c r="B26">
        <v>0.16763</v>
      </c>
      <c r="C26">
        <f t="shared" si="32"/>
        <v>7.5375020515345481E-3</v>
      </c>
      <c r="D26">
        <f t="shared" si="33"/>
        <v>2.2612506154603643E-2</v>
      </c>
      <c r="E26">
        <f t="shared" si="18"/>
        <v>3.8307075465879765</v>
      </c>
      <c r="F26">
        <f t="shared" si="19"/>
        <v>0.60475572244064868</v>
      </c>
      <c r="H26">
        <v>0.15765000000000001</v>
      </c>
      <c r="I26">
        <f t="shared" si="45"/>
        <v>7.2099130149351721E-3</v>
      </c>
      <c r="J26">
        <f t="shared" si="46"/>
        <v>2.1629739044805515E-2</v>
      </c>
      <c r="K26">
        <f t="shared" si="49"/>
        <v>3.6642203222925982</v>
      </c>
      <c r="L26">
        <f t="shared" si="21"/>
        <v>0.61350062731022115</v>
      </c>
      <c r="N26">
        <v>0.16803999999999999</v>
      </c>
      <c r="O26">
        <f t="shared" si="47"/>
        <v>7.5509601181683898E-3</v>
      </c>
      <c r="P26">
        <f t="shared" si="48"/>
        <v>2.2652880354505169E-2</v>
      </c>
      <c r="Q26">
        <f t="shared" si="50"/>
        <v>3.8375472020951009</v>
      </c>
      <c r="R26">
        <f t="shared" si="22"/>
        <v>0.552078747577189</v>
      </c>
      <c r="S26" s="3">
        <f t="shared" si="7"/>
        <v>0.59011169910935291</v>
      </c>
      <c r="T26">
        <v>4.58E-2</v>
      </c>
      <c r="U26">
        <f t="shared" si="38"/>
        <v>3.5384867881175122E-3</v>
      </c>
      <c r="V26">
        <f t="shared" si="39"/>
        <v>1.0615460364352536E-2</v>
      </c>
      <c r="W26">
        <f t="shared" si="10"/>
        <v>1.798328935775743</v>
      </c>
      <c r="X26">
        <f t="shared" si="23"/>
        <v>0.59277843408479147</v>
      </c>
      <c r="Z26">
        <v>0.13682</v>
      </c>
      <c r="AA26">
        <f t="shared" si="40"/>
        <v>6.5261775808304612E-3</v>
      </c>
      <c r="AB26">
        <f t="shared" si="41"/>
        <v>1.9578532742491384E-2</v>
      </c>
      <c r="AC26">
        <f t="shared" si="13"/>
        <v>3.3167324583574511</v>
      </c>
      <c r="AD26">
        <f t="shared" si="24"/>
        <v>0.56324816019752377</v>
      </c>
      <c r="AF26">
        <v>3.0800000000000001E-2</v>
      </c>
      <c r="AG26">
        <f t="shared" si="42"/>
        <v>3.0461184966354832E-3</v>
      </c>
      <c r="AH26">
        <f t="shared" si="43"/>
        <v>9.1383554899064495E-3</v>
      </c>
      <c r="AI26">
        <f t="shared" ref="AI26:AI29" si="51">IF(AH26-AH25&gt;0,AI25+(AH26-AH25*0.8)/AM25,AH26/AM25)</f>
        <v>1.5480976367345913</v>
      </c>
      <c r="AJ26">
        <f t="shared" si="26"/>
        <v>0.55289201311949698</v>
      </c>
      <c r="AK26" s="3">
        <f t="shared" si="16"/>
        <v>0.569639535800604</v>
      </c>
      <c r="AL26">
        <v>24</v>
      </c>
      <c r="AM26">
        <f t="shared" si="17"/>
        <v>4.722366482869657E-3</v>
      </c>
    </row>
    <row r="27" spans="1:39">
      <c r="A27">
        <v>860</v>
      </c>
      <c r="B27">
        <v>0.15176000000000001</v>
      </c>
      <c r="C27">
        <f t="shared" si="32"/>
        <v>7.0165763991465622E-3</v>
      </c>
      <c r="D27">
        <f t="shared" si="33"/>
        <v>2.1049729197439686E-2</v>
      </c>
      <c r="E27">
        <f t="shared" si="18"/>
        <v>4.4574535402530477</v>
      </c>
      <c r="F27">
        <f t="shared" si="19"/>
        <v>0.70370042693089463</v>
      </c>
      <c r="H27">
        <v>0.14862</v>
      </c>
      <c r="I27">
        <f t="shared" si="45"/>
        <v>6.9135073034629901E-3</v>
      </c>
      <c r="J27">
        <f t="shared" si="46"/>
        <v>2.0740521910388967E-2</v>
      </c>
      <c r="K27">
        <f t="shared" si="49"/>
        <v>4.3919763503372797</v>
      </c>
      <c r="L27">
        <f t="shared" si="21"/>
        <v>0.7353488625317478</v>
      </c>
      <c r="N27">
        <v>0.16328999999999999</v>
      </c>
      <c r="O27">
        <f t="shared" si="47"/>
        <v>7.3950434925324137E-3</v>
      </c>
      <c r="P27">
        <f t="shared" si="48"/>
        <v>2.218513047759724E-2</v>
      </c>
      <c r="Q27">
        <f t="shared" si="50"/>
        <v>4.6978841134150864</v>
      </c>
      <c r="R27">
        <f t="shared" si="22"/>
        <v>0.67584887976908847</v>
      </c>
      <c r="S27" s="3">
        <f t="shared" si="7"/>
        <v>0.70496605641057697</v>
      </c>
      <c r="T27">
        <v>3.9759999999999997E-2</v>
      </c>
      <c r="U27">
        <f t="shared" si="38"/>
        <v>3.3402264894140813E-3</v>
      </c>
      <c r="V27">
        <f t="shared" si="39"/>
        <v>1.0020679468242243E-2</v>
      </c>
      <c r="W27">
        <f t="shared" si="10"/>
        <v>2.1219614158689653</v>
      </c>
      <c r="X27">
        <f t="shared" si="23"/>
        <v>0.69945655673084839</v>
      </c>
      <c r="Z27">
        <v>0.12978000000000001</v>
      </c>
      <c r="AA27">
        <f t="shared" si="40"/>
        <v>6.2950927293615629E-3</v>
      </c>
      <c r="AB27">
        <f t="shared" si="41"/>
        <v>1.8885278188084689E-2</v>
      </c>
      <c r="AC27">
        <f t="shared" si="13"/>
        <v>3.9991132108426717</v>
      </c>
      <c r="AD27">
        <f t="shared" si="24"/>
        <v>0.67913019416231457</v>
      </c>
      <c r="AF27">
        <v>2.6700000000000002E-2</v>
      </c>
      <c r="AG27">
        <f t="shared" si="42"/>
        <v>2.9115378302970621E-3</v>
      </c>
      <c r="AH27">
        <f t="shared" si="43"/>
        <v>8.7346134908911858E-3</v>
      </c>
      <c r="AI27">
        <f t="shared" si="51"/>
        <v>1.8496263520791789</v>
      </c>
      <c r="AJ27">
        <f t="shared" si="26"/>
        <v>0.66058084002827822</v>
      </c>
      <c r="AK27" s="3">
        <f t="shared" si="16"/>
        <v>0.67972253030714713</v>
      </c>
      <c r="AL27">
        <v>25</v>
      </c>
      <c r="AM27">
        <f t="shared" si="17"/>
        <v>3.7778931862957259E-3</v>
      </c>
    </row>
    <row r="28" spans="1:39">
      <c r="A28">
        <v>956</v>
      </c>
      <c r="B28">
        <v>0.14865</v>
      </c>
      <c r="C28">
        <f t="shared" si="32"/>
        <v>6.9144920400459548E-3</v>
      </c>
      <c r="D28">
        <f t="shared" si="33"/>
        <v>2.0743476120137862E-2</v>
      </c>
      <c r="E28">
        <f t="shared" si="18"/>
        <v>5.4907524107311021</v>
      </c>
      <c r="F28">
        <f t="shared" si="19"/>
        <v>0.8668278380718617</v>
      </c>
      <c r="H28">
        <v>0.13563</v>
      </c>
      <c r="I28">
        <f t="shared" si="45"/>
        <v>6.4871163630395535E-3</v>
      </c>
      <c r="J28">
        <f t="shared" si="46"/>
        <v>1.9461349089118656E-2</v>
      </c>
      <c r="K28">
        <f t="shared" si="49"/>
        <v>5.1513762114065411</v>
      </c>
      <c r="L28">
        <f t="shared" si="21"/>
        <v>0.86249522660567202</v>
      </c>
      <c r="N28">
        <v>0.15772</v>
      </c>
      <c r="O28">
        <f t="shared" si="47"/>
        <v>7.2122107336287542E-3</v>
      </c>
      <c r="P28">
        <f t="shared" si="48"/>
        <v>2.1636632200886262E-2</v>
      </c>
      <c r="Q28">
        <f t="shared" si="50"/>
        <v>5.7271688568043571</v>
      </c>
      <c r="R28">
        <f t="shared" si="22"/>
        <v>0.82392425242389888</v>
      </c>
      <c r="S28" s="3">
        <f t="shared" si="7"/>
        <v>0.85108243903381087</v>
      </c>
      <c r="T28">
        <v>3.6519999999999997E-2</v>
      </c>
      <c r="U28">
        <f t="shared" si="38"/>
        <v>3.2338749384539633E-3</v>
      </c>
      <c r="V28">
        <f t="shared" si="39"/>
        <v>9.7016248153618898E-3</v>
      </c>
      <c r="W28">
        <f t="shared" si="10"/>
        <v>2.567998706409818</v>
      </c>
      <c r="X28">
        <f t="shared" si="23"/>
        <v>0.84648265488801078</v>
      </c>
      <c r="Z28">
        <v>0.12765000000000001</v>
      </c>
      <c r="AA28">
        <f t="shared" si="40"/>
        <v>6.2251764319711149E-3</v>
      </c>
      <c r="AB28">
        <f t="shared" si="41"/>
        <v>1.8675529295913342E-2</v>
      </c>
      <c r="AC28">
        <f t="shared" si="13"/>
        <v>4.9433714440785828</v>
      </c>
      <c r="AD28">
        <f t="shared" si="24"/>
        <v>0.83948431355513431</v>
      </c>
      <c r="AF28">
        <v>2.1700000000000001E-2</v>
      </c>
      <c r="AG28">
        <f t="shared" si="42"/>
        <v>2.7474150664697191E-3</v>
      </c>
      <c r="AH28">
        <f t="shared" si="43"/>
        <v>8.2422451994091563E-3</v>
      </c>
      <c r="AI28">
        <f t="shared" si="51"/>
        <v>2.1817041385150402</v>
      </c>
      <c r="AJ28">
        <f t="shared" si="26"/>
        <v>0.77918004946965724</v>
      </c>
      <c r="AK28" s="3">
        <f t="shared" si="16"/>
        <v>0.82171567263760081</v>
      </c>
      <c r="AL28">
        <v>26</v>
      </c>
      <c r="AM28">
        <f t="shared" si="17"/>
        <v>3.0223145490365813E-3</v>
      </c>
    </row>
    <row r="29" spans="1:39">
      <c r="A29">
        <v>980</v>
      </c>
      <c r="B29">
        <v>0.13241</v>
      </c>
      <c r="C29">
        <f t="shared" si="32"/>
        <v>6.3814213031347447E-3</v>
      </c>
      <c r="D29">
        <f t="shared" si="33"/>
        <v>1.9144263909404234E-2</v>
      </c>
      <c r="E29">
        <f t="shared" si="18"/>
        <v>6.3343055789831082</v>
      </c>
      <c r="F29">
        <f t="shared" si="19"/>
        <v>0.99999999999733336</v>
      </c>
      <c r="H29">
        <v>0.12131</v>
      </c>
      <c r="I29">
        <f t="shared" si="45"/>
        <v>6.0170687674380441E-3</v>
      </c>
      <c r="J29">
        <f t="shared" si="46"/>
        <v>1.8051206302314132E-2</v>
      </c>
      <c r="K29">
        <f t="shared" si="49"/>
        <v>5.972643154587697</v>
      </c>
      <c r="L29">
        <f t="shared" si="21"/>
        <v>0.99999999993096811</v>
      </c>
      <c r="N29">
        <v>0.15134</v>
      </c>
      <c r="O29">
        <f t="shared" si="47"/>
        <v>7.002790086985065E-3</v>
      </c>
      <c r="P29">
        <f t="shared" si="48"/>
        <v>2.1008370260955193E-2</v>
      </c>
      <c r="Q29">
        <f t="shared" si="50"/>
        <v>6.9510866324790719</v>
      </c>
      <c r="R29">
        <f>IF(Q29/6.951086632&gt;R28,Q29/6.951086632,R28)</f>
        <v>1.0000000000689204</v>
      </c>
      <c r="S29" s="3">
        <f t="shared" si="7"/>
        <v>0.99999999999907396</v>
      </c>
      <c r="T29">
        <v>3.1109999999999999E-2</v>
      </c>
      <c r="U29">
        <f t="shared" si="38"/>
        <v>3.0562941079927785E-3</v>
      </c>
      <c r="V29">
        <f t="shared" si="39"/>
        <v>9.1688823239783352E-3</v>
      </c>
      <c r="W29">
        <f t="shared" si="10"/>
        <v>3.0337286788700024</v>
      </c>
      <c r="X29">
        <f t="shared" si="23"/>
        <v>0.99999999995714917</v>
      </c>
      <c r="Z29">
        <v>0.11873</v>
      </c>
      <c r="AA29">
        <f t="shared" si="40"/>
        <v>5.9323814213031352E-3</v>
      </c>
      <c r="AB29">
        <f t="shared" si="41"/>
        <v>1.7797144263909406E-2</v>
      </c>
      <c r="AC29">
        <f t="shared" si="13"/>
        <v>5.8885810775660579</v>
      </c>
      <c r="AD29">
        <f t="shared" si="24"/>
        <v>0.99999999992630795</v>
      </c>
      <c r="AF29">
        <v>1.8429999999999998E-2</v>
      </c>
      <c r="AG29">
        <f t="shared" si="42"/>
        <v>2.6400787789266373E-3</v>
      </c>
      <c r="AH29">
        <f t="shared" si="43"/>
        <v>7.9202363367799102E-3</v>
      </c>
      <c r="AI29">
        <f t="shared" si="51"/>
        <v>2.6205863778489342</v>
      </c>
      <c r="AJ29">
        <f t="shared" si="26"/>
        <v>0.93592370637461941</v>
      </c>
      <c r="AK29" s="3">
        <f t="shared" si="16"/>
        <v>0.97864123541935888</v>
      </c>
      <c r="AL29">
        <v>27</v>
      </c>
      <c r="AM29">
        <f t="shared" si="17"/>
        <v>2.4178516392292649E-3</v>
      </c>
    </row>
    <row r="49" spans="2:37">
      <c r="B49" t="s">
        <v>24</v>
      </c>
      <c r="C49" t="s">
        <v>43</v>
      </c>
      <c r="D49" t="s">
        <v>27</v>
      </c>
      <c r="E49" t="s">
        <v>44</v>
      </c>
      <c r="G49" t="s">
        <v>45</v>
      </c>
      <c r="H49" t="s">
        <v>25</v>
      </c>
      <c r="I49" t="s">
        <v>43</v>
      </c>
      <c r="J49" t="s">
        <v>27</v>
      </c>
      <c r="K49" t="s">
        <v>46</v>
      </c>
      <c r="M49" t="s">
        <v>45</v>
      </c>
      <c r="N49" t="s">
        <v>29</v>
      </c>
      <c r="O49" t="s">
        <v>43</v>
      </c>
      <c r="P49" t="s">
        <v>27</v>
      </c>
      <c r="Q49" t="s">
        <v>46</v>
      </c>
      <c r="S49" s="3" t="s">
        <v>45</v>
      </c>
      <c r="T49" t="s">
        <v>31</v>
      </c>
      <c r="U49" t="s">
        <v>43</v>
      </c>
      <c r="V49" t="s">
        <v>27</v>
      </c>
      <c r="W49" t="s">
        <v>46</v>
      </c>
      <c r="Y49" t="s">
        <v>45</v>
      </c>
      <c r="Z49" t="s">
        <v>32</v>
      </c>
      <c r="AA49" t="s">
        <v>43</v>
      </c>
      <c r="AB49" t="s">
        <v>27</v>
      </c>
      <c r="AC49" t="s">
        <v>46</v>
      </c>
      <c r="AE49" t="s">
        <v>45</v>
      </c>
      <c r="AF49" t="s">
        <v>34</v>
      </c>
      <c r="AG49" t="s">
        <v>43</v>
      </c>
      <c r="AH49" t="s">
        <v>27</v>
      </c>
      <c r="AI49" t="s">
        <v>46</v>
      </c>
      <c r="AK49" s="3" t="s">
        <v>45</v>
      </c>
    </row>
    <row r="50" spans="2:37">
      <c r="C50">
        <v>1.2304726945918807E-2</v>
      </c>
      <c r="D50">
        <v>0.5</v>
      </c>
      <c r="E50">
        <f>F$50*(D50^F$51)</f>
        <v>9.3644829253612654E-7</v>
      </c>
      <c r="F50">
        <v>3.2896115984319124E-6</v>
      </c>
      <c r="G50">
        <f>(C50-E50)^2</f>
        <v>1.5138326060947849E-4</v>
      </c>
      <c r="I50">
        <v>1.2952541102827082E-2</v>
      </c>
      <c r="J50">
        <v>0.5</v>
      </c>
      <c r="K50">
        <f>L$50*J50^L$51</f>
        <v>3.0829914495345904E-5</v>
      </c>
      <c r="L50" s="2">
        <v>7.6941869039469002E-5</v>
      </c>
      <c r="M50">
        <f>(I50-K50)^2</f>
        <v>1.6697062003465758E-4</v>
      </c>
      <c r="O50">
        <v>1.2207408114204151E-2</v>
      </c>
      <c r="P50">
        <v>0.5</v>
      </c>
      <c r="Q50">
        <f>R$50*P50^R$51</f>
        <v>7.8239062586901042E-6</v>
      </c>
      <c r="R50">
        <v>2.2198634673049735E-5</v>
      </c>
      <c r="S50" s="3">
        <f>(O50-Q50)^2</f>
        <v>1.4882985484675228E-4</v>
      </c>
      <c r="U50">
        <v>2.6405895022402575E-2</v>
      </c>
      <c r="V50">
        <v>0.5</v>
      </c>
      <c r="W50">
        <f>X$50*V50^X$51</f>
        <v>1.350844653273048E-3</v>
      </c>
      <c r="X50">
        <v>2.3459961476322618E-3</v>
      </c>
      <c r="Y50">
        <f>(U50-W50)^2</f>
        <v>6.2775554899961771E-4</v>
      </c>
      <c r="AA50">
        <v>6.2108538893900717E-3</v>
      </c>
      <c r="AB50">
        <v>0.5</v>
      </c>
      <c r="AC50">
        <f>AD$50*AB50^AD$51</f>
        <v>4.3072921478005461E-4</v>
      </c>
      <c r="AD50">
        <v>8.3367716416667982E-4</v>
      </c>
      <c r="AE50">
        <f>(AA50-AC50)^2</f>
        <v>3.3409841254035561E-5</v>
      </c>
      <c r="AG50">
        <v>3.6846732784694379E-2</v>
      </c>
      <c r="AH50">
        <v>0.5</v>
      </c>
      <c r="AI50">
        <f>AJ$50*AH50^AJ$51</f>
        <v>3.6393793624620945E-3</v>
      </c>
      <c r="AJ50">
        <v>5.6983488421753648E-3</v>
      </c>
      <c r="AK50" s="3">
        <f>(AG50-AI50)^2</f>
        <v>1.1027283213090424E-3</v>
      </c>
    </row>
    <row r="51" spans="2:37">
      <c r="C51">
        <v>2.8255011022371983E-2</v>
      </c>
      <c r="D51">
        <v>1</v>
      </c>
      <c r="E51">
        <f t="shared" ref="E51:E73" si="52">F$50*(D51^F$51)</f>
        <v>3.2896115984319124E-6</v>
      </c>
      <c r="F51">
        <v>1.8126460151655517</v>
      </c>
      <c r="G51">
        <f t="shared" ref="G51:G73" si="53">(C51-E51)^2</f>
        <v>7.9815976267196063E-4</v>
      </c>
      <c r="I51">
        <v>2.5761641386414614E-2</v>
      </c>
      <c r="J51">
        <v>1</v>
      </c>
      <c r="K51">
        <f t="shared" ref="K51:K72" si="54">L$50*J51^L$51</f>
        <v>7.6941869039469002E-5</v>
      </c>
      <c r="L51">
        <v>1.3194379871654951</v>
      </c>
      <c r="M51">
        <f t="shared" ref="M51:M72" si="55">(I51-K51)^2</f>
        <v>6.5970378929785102E-4</v>
      </c>
      <c r="O51">
        <v>2.5863002713814497E-2</v>
      </c>
      <c r="P51">
        <v>1</v>
      </c>
      <c r="Q51">
        <f t="shared" ref="Q51:Q73" si="56">R$50*P51^R$51</f>
        <v>2.2198634673049735E-5</v>
      </c>
      <c r="R51">
        <v>1.5045099563429831</v>
      </c>
      <c r="S51" s="3">
        <f t="shared" ref="S51:S72" si="57">(O51-Q51)^2</f>
        <v>6.6774715545657318E-4</v>
      </c>
      <c r="U51">
        <v>5.7360193290059189E-2</v>
      </c>
      <c r="V51">
        <v>1</v>
      </c>
      <c r="W51">
        <f t="shared" ref="W51:W73" si="58">X$50*V51^X$51</f>
        <v>2.3459961476322618E-3</v>
      </c>
      <c r="X51">
        <v>0.79633886960538702</v>
      </c>
      <c r="Y51">
        <f t="shared" ref="Y51:Y73" si="59">(U51-W51)^2</f>
        <v>3.026561887225815E-3</v>
      </c>
      <c r="AA51">
        <v>2.0893068330793543E-2</v>
      </c>
      <c r="AB51">
        <v>1</v>
      </c>
      <c r="AC51">
        <f t="shared" ref="AC51:AC73" si="60">AD$50*AB51^AD$51</f>
        <v>8.3367716416667982E-4</v>
      </c>
      <c r="AD51">
        <v>0.95270763833132854</v>
      </c>
      <c r="AE51">
        <f t="shared" ref="AE51:AE73" si="61">(AA51-AC51)^2</f>
        <v>4.0237917397574789E-4</v>
      </c>
      <c r="AG51">
        <v>5.8890764577618347E-2</v>
      </c>
      <c r="AH51">
        <v>1</v>
      </c>
      <c r="AI51">
        <f t="shared" ref="AI51:AI73" si="62">AJ$50*AH51^AJ$51</f>
        <v>5.6983488421753648E-3</v>
      </c>
      <c r="AJ51">
        <v>0.64685150044120132</v>
      </c>
      <c r="AK51" s="3">
        <f t="shared" ref="AK51:AK72" si="63">(AG51-AI51)^2</f>
        <v>2.8294330917722024E-3</v>
      </c>
    </row>
    <row r="52" spans="2:37">
      <c r="C52">
        <v>3.4947115163244988E-2</v>
      </c>
      <c r="D52">
        <v>2</v>
      </c>
      <c r="E52">
        <f t="shared" si="52"/>
        <v>1.1555944471029387E-5</v>
      </c>
      <c r="G52">
        <f t="shared" si="53"/>
        <v>1.2204932979284619E-3</v>
      </c>
      <c r="I52">
        <v>3.7456138493777519E-2</v>
      </c>
      <c r="J52">
        <v>2</v>
      </c>
      <c r="K52">
        <f t="shared" si="54"/>
        <v>1.9202295264816551E-4</v>
      </c>
      <c r="M52">
        <f t="shared" si="55"/>
        <v>1.3886143070626379E-3</v>
      </c>
      <c r="O52">
        <v>3.8632915642263302E-2</v>
      </c>
      <c r="P52">
        <v>2</v>
      </c>
      <c r="Q52">
        <f t="shared" si="56"/>
        <v>6.2983804388017827E-5</v>
      </c>
      <c r="S52" s="3">
        <f t="shared" si="57"/>
        <v>1.4876396419783455E-3</v>
      </c>
      <c r="U52">
        <v>7.7776275385783522E-2</v>
      </c>
      <c r="V52">
        <v>2</v>
      </c>
      <c r="W52">
        <f t="shared" si="58"/>
        <v>4.0742641364202407E-3</v>
      </c>
      <c r="Y52">
        <f t="shared" si="59"/>
        <v>5.4319864622012709E-3</v>
      </c>
      <c r="AA52">
        <v>3.171978526784245E-2</v>
      </c>
      <c r="AB52">
        <v>2</v>
      </c>
      <c r="AC52">
        <f t="shared" si="60"/>
        <v>1.6135836395678373E-3</v>
      </c>
      <c r="AE52">
        <f t="shared" si="61"/>
        <v>9.0638337648232489E-4</v>
      </c>
      <c r="AG52">
        <v>7.9144356228458876E-2</v>
      </c>
      <c r="AH52">
        <v>2</v>
      </c>
      <c r="AI52">
        <f t="shared" si="62"/>
        <v>8.9221749900659127E-3</v>
      </c>
      <c r="AK52" s="3">
        <f t="shared" si="63"/>
        <v>4.9311547378777095E-3</v>
      </c>
    </row>
    <row r="53" spans="2:37">
      <c r="C53">
        <v>3.893049602640801E-2</v>
      </c>
      <c r="D53">
        <v>3</v>
      </c>
      <c r="E53">
        <f t="shared" si="52"/>
        <v>2.4098863697085401E-5</v>
      </c>
      <c r="G53">
        <f t="shared" si="53"/>
        <v>1.5137077401826005E-3</v>
      </c>
      <c r="I53">
        <v>4.2893132908380316E-2</v>
      </c>
      <c r="J53">
        <v>3</v>
      </c>
      <c r="K53">
        <f t="shared" si="54"/>
        <v>3.2786468450866631E-4</v>
      </c>
      <c r="M53">
        <f t="shared" si="55"/>
        <v>1.8118020589701373E-3</v>
      </c>
      <c r="O53">
        <v>4.0143933463858431E-2</v>
      </c>
      <c r="P53">
        <v>3</v>
      </c>
      <c r="Q53">
        <f t="shared" si="56"/>
        <v>1.1592041896142655E-4</v>
      </c>
      <c r="S53" s="3">
        <f t="shared" si="57"/>
        <v>1.6022418283224446E-3</v>
      </c>
      <c r="U53">
        <v>9.3391124283336902E-2</v>
      </c>
      <c r="V53">
        <v>3</v>
      </c>
      <c r="W53">
        <f t="shared" si="58"/>
        <v>5.6270075163876382E-3</v>
      </c>
      <c r="Y53">
        <f t="shared" si="59"/>
        <v>7.7025401918827041E-3</v>
      </c>
      <c r="AA53">
        <v>4.0487505475943715E-2</v>
      </c>
      <c r="AB53">
        <v>3</v>
      </c>
      <c r="AC53">
        <f t="shared" si="60"/>
        <v>2.3744059362428922E-3</v>
      </c>
      <c r="AE53">
        <f t="shared" si="61"/>
        <v>1.452608356523143E-3</v>
      </c>
      <c r="AG53">
        <v>8.9633284536118712E-2</v>
      </c>
      <c r="AH53">
        <v>3</v>
      </c>
      <c r="AI53">
        <f t="shared" si="62"/>
        <v>1.159780044581658E-2</v>
      </c>
      <c r="AK53" s="3">
        <f t="shared" si="63"/>
        <v>6.0895367772077968E-3</v>
      </c>
    </row>
    <row r="54" spans="2:37">
      <c r="C54">
        <v>4.2114103645149094E-2</v>
      </c>
      <c r="D54">
        <v>4</v>
      </c>
      <c r="E54">
        <f>F$50*(D54^F$51)</f>
        <v>4.0594413237468595E-5</v>
      </c>
      <c r="G54">
        <f t="shared" si="53"/>
        <v>1.7701801790877525E-3</v>
      </c>
      <c r="I54">
        <v>4.4501222866797904E-2</v>
      </c>
      <c r="J54">
        <v>4</v>
      </c>
      <c r="K54">
        <f t="shared" si="54"/>
        <v>4.792295118903976E-4</v>
      </c>
      <c r="M54">
        <f t="shared" si="55"/>
        <v>1.9379358989395209E-3</v>
      </c>
      <c r="O54">
        <v>4.8633897405145711E-2</v>
      </c>
      <c r="P54">
        <v>4</v>
      </c>
      <c r="Q54">
        <f t="shared" si="56"/>
        <v>1.787028650011608E-4</v>
      </c>
      <c r="S54" s="3">
        <f t="shared" si="57"/>
        <v>2.347905877923254E-3</v>
      </c>
      <c r="U54">
        <v>9.9423413656468063E-2</v>
      </c>
      <c r="V54">
        <v>4</v>
      </c>
      <c r="W54">
        <f t="shared" si="58"/>
        <v>7.0757269870513791E-3</v>
      </c>
      <c r="Y54">
        <f t="shared" si="59"/>
        <v>8.5280952331927597E-3</v>
      </c>
      <c r="AA54">
        <v>4.3740207518203726E-2</v>
      </c>
      <c r="AB54">
        <v>4</v>
      </c>
      <c r="AC54">
        <f t="shared" si="60"/>
        <v>3.1230940150358145E-3</v>
      </c>
      <c r="AE54">
        <f t="shared" si="61"/>
        <v>1.6497499093292252E-3</v>
      </c>
      <c r="AG54">
        <v>9.9604463681244246E-2</v>
      </c>
      <c r="AH54">
        <v>4</v>
      </c>
      <c r="AI54">
        <f t="shared" si="62"/>
        <v>1.3969872459224186E-2</v>
      </c>
      <c r="AK54" s="3">
        <f t="shared" si="63"/>
        <v>7.3332832137624759E-3</v>
      </c>
    </row>
    <row r="55" spans="2:37">
      <c r="C55">
        <v>5.2977101923391001E-2</v>
      </c>
      <c r="D55">
        <v>26</v>
      </c>
      <c r="E55">
        <f t="shared" si="52"/>
        <v>1.2077872063446442E-3</v>
      </c>
      <c r="G55">
        <f t="shared" si="53"/>
        <v>2.6800619462725925E-3</v>
      </c>
      <c r="I55">
        <v>5.7946082622391336E-2</v>
      </c>
      <c r="J55">
        <v>26</v>
      </c>
      <c r="K55">
        <f t="shared" si="54"/>
        <v>5.664118333197265E-3</v>
      </c>
      <c r="M55">
        <f t="shared" si="55"/>
        <v>2.7334037899365642E-3</v>
      </c>
      <c r="O55">
        <v>6.2234199156124208E-2</v>
      </c>
      <c r="P55">
        <v>26</v>
      </c>
      <c r="Q55">
        <f t="shared" si="56"/>
        <v>2.9865359988325568E-3</v>
      </c>
      <c r="S55" s="3">
        <f t="shared" si="57"/>
        <v>3.5102855895998947E-3</v>
      </c>
      <c r="U55">
        <v>0.12050017091344904</v>
      </c>
      <c r="V55">
        <v>26</v>
      </c>
      <c r="W55">
        <f t="shared" si="58"/>
        <v>3.1414168657879271E-2</v>
      </c>
      <c r="Y55">
        <f t="shared" si="59"/>
        <v>7.9363157978793817E-3</v>
      </c>
      <c r="AA55">
        <v>6.459116260490802E-2</v>
      </c>
      <c r="AB55">
        <v>26</v>
      </c>
      <c r="AC55">
        <f t="shared" si="60"/>
        <v>1.858034707614702E-2</v>
      </c>
      <c r="AE55">
        <f t="shared" si="61"/>
        <v>2.1169951456216749E-3</v>
      </c>
      <c r="AG55">
        <v>0.11287124933233532</v>
      </c>
      <c r="AH55">
        <v>26</v>
      </c>
      <c r="AI55">
        <f t="shared" si="62"/>
        <v>4.6884216811118401E-2</v>
      </c>
      <c r="AK55" s="3">
        <f t="shared" si="63"/>
        <v>4.3542884609561391E-3</v>
      </c>
    </row>
    <row r="56" spans="2:37">
      <c r="C56">
        <v>5.2977101923391001E-2</v>
      </c>
      <c r="D56">
        <v>29</v>
      </c>
      <c r="E56">
        <f t="shared" si="52"/>
        <v>1.472158353676826E-3</v>
      </c>
      <c r="G56">
        <f t="shared" si="53"/>
        <v>2.6527592121194416E-3</v>
      </c>
      <c r="I56">
        <v>5.7946082622391336E-2</v>
      </c>
      <c r="J56">
        <v>29</v>
      </c>
      <c r="K56">
        <f t="shared" si="54"/>
        <v>6.5419346667310646E-3</v>
      </c>
      <c r="M56">
        <f t="shared" si="55"/>
        <v>2.6423864270474118E-3</v>
      </c>
      <c r="O56">
        <v>6.2234199156124208E-2</v>
      </c>
      <c r="P56">
        <v>29</v>
      </c>
      <c r="Q56">
        <f t="shared" si="56"/>
        <v>3.5198050655017429E-3</v>
      </c>
      <c r="S56" s="3">
        <f t="shared" si="57"/>
        <v>3.4473800734289221E-3</v>
      </c>
      <c r="U56">
        <v>0.12050017091344904</v>
      </c>
      <c r="V56">
        <v>29</v>
      </c>
      <c r="W56">
        <f t="shared" si="58"/>
        <v>3.4268229216197932E-2</v>
      </c>
      <c r="Y56">
        <f t="shared" si="59"/>
        <v>7.4359477688781149E-3</v>
      </c>
      <c r="AA56">
        <v>6.5559532462631798E-2</v>
      </c>
      <c r="AB56">
        <v>29</v>
      </c>
      <c r="AC56">
        <f t="shared" si="60"/>
        <v>2.0617483158298838E-2</v>
      </c>
      <c r="AE56">
        <f t="shared" si="61"/>
        <v>2.0197877956730946E-3</v>
      </c>
      <c r="AG56">
        <v>0.11287124933233532</v>
      </c>
      <c r="AH56">
        <v>29</v>
      </c>
      <c r="AI56">
        <f t="shared" si="62"/>
        <v>5.0315682916825602E-2</v>
      </c>
      <c r="AK56" s="3">
        <f t="shared" si="63"/>
        <v>3.9131988895652475E-3</v>
      </c>
    </row>
    <row r="57" spans="2:37">
      <c r="C57">
        <v>5.8473360605901026E-2</v>
      </c>
      <c r="D57">
        <v>47.5</v>
      </c>
      <c r="E57">
        <f t="shared" si="52"/>
        <v>3.6007802208261248E-3</v>
      </c>
      <c r="G57">
        <f t="shared" si="53"/>
        <v>3.0110000781165065E-3</v>
      </c>
      <c r="I57">
        <v>6.5964676529758182E-2</v>
      </c>
      <c r="J57">
        <v>47.5</v>
      </c>
      <c r="K57">
        <f t="shared" si="54"/>
        <v>1.2544575601333704E-2</v>
      </c>
      <c r="M57">
        <f t="shared" si="55"/>
        <v>2.8537071832030574E-3</v>
      </c>
      <c r="O57">
        <v>6.7690364779865231E-2</v>
      </c>
      <c r="P57">
        <v>47.5</v>
      </c>
      <c r="Q57">
        <f t="shared" si="56"/>
        <v>7.394835090660485E-3</v>
      </c>
      <c r="S57" s="3">
        <f t="shared" si="57"/>
        <v>3.6355509005017712E-3</v>
      </c>
      <c r="U57">
        <v>0.12254666540024671</v>
      </c>
      <c r="V57">
        <v>47.5</v>
      </c>
      <c r="W57">
        <f t="shared" si="58"/>
        <v>5.0762568481655418E-2</v>
      </c>
      <c r="Y57">
        <f t="shared" si="59"/>
        <v>5.1529565704177081E-3</v>
      </c>
      <c r="AA57">
        <v>8.233217046276553E-2</v>
      </c>
      <c r="AB57">
        <v>47.5</v>
      </c>
      <c r="AC57">
        <f t="shared" si="60"/>
        <v>3.299109380527452E-2</v>
      </c>
      <c r="AE57">
        <f t="shared" si="61"/>
        <v>2.4345418457204044E-3</v>
      </c>
      <c r="AG57">
        <v>0.11712981400681312</v>
      </c>
      <c r="AH57">
        <v>47.5</v>
      </c>
      <c r="AI57">
        <f t="shared" si="62"/>
        <v>6.9234220926647591E-2</v>
      </c>
      <c r="AK57" s="3">
        <f t="shared" si="63"/>
        <v>2.2939878365008E-3</v>
      </c>
    </row>
    <row r="58" spans="2:37">
      <c r="C58">
        <v>5.8729107429037905E-2</v>
      </c>
      <c r="D58">
        <v>67</v>
      </c>
      <c r="E58">
        <f t="shared" si="52"/>
        <v>6.7169457193935441E-3</v>
      </c>
      <c r="G58">
        <f t="shared" si="53"/>
        <v>2.7052649657101947E-3</v>
      </c>
      <c r="I58">
        <v>6.7395529414379582E-2</v>
      </c>
      <c r="J58">
        <v>67</v>
      </c>
      <c r="K58">
        <f t="shared" si="54"/>
        <v>1.9749458566059409E-2</v>
      </c>
      <c r="M58">
        <f t="shared" si="55"/>
        <v>2.2701480672831457E-3</v>
      </c>
      <c r="O58">
        <v>6.7690364779865231E-2</v>
      </c>
      <c r="P58">
        <v>67</v>
      </c>
      <c r="Q58">
        <f t="shared" si="56"/>
        <v>1.2407205791226996E-2</v>
      </c>
      <c r="S58" s="3">
        <f t="shared" si="57"/>
        <v>3.0562276677630522E-3</v>
      </c>
      <c r="U58">
        <v>0.12258536027407056</v>
      </c>
      <c r="V58">
        <v>67</v>
      </c>
      <c r="W58">
        <f t="shared" si="58"/>
        <v>6.6757742008012447E-2</v>
      </c>
      <c r="Y58">
        <f t="shared" si="59"/>
        <v>3.1167229612607057E-3</v>
      </c>
      <c r="AA58">
        <v>9.4502579680082327E-2</v>
      </c>
      <c r="AB58">
        <v>67</v>
      </c>
      <c r="AC58">
        <f t="shared" si="60"/>
        <v>4.5783956291577069E-2</v>
      </c>
      <c r="AE58">
        <f t="shared" si="61"/>
        <v>2.3735042648710116E-3</v>
      </c>
      <c r="AG58">
        <v>0.12145646473539175</v>
      </c>
      <c r="AH58">
        <v>67</v>
      </c>
      <c r="AI58">
        <f t="shared" si="62"/>
        <v>8.6486487322657804E-2</v>
      </c>
      <c r="AK58" s="3">
        <f t="shared" si="63"/>
        <v>1.2228993202471222E-3</v>
      </c>
    </row>
    <row r="59" spans="2:37">
      <c r="C59">
        <v>6.3421274007513601E-2</v>
      </c>
      <c r="D59">
        <v>73.5</v>
      </c>
      <c r="E59">
        <f t="shared" si="52"/>
        <v>7.9444334722688949E-3</v>
      </c>
      <c r="G59">
        <f t="shared" si="53"/>
        <v>3.0776798357729706E-3</v>
      </c>
      <c r="I59">
        <v>7.3870482672311846E-2</v>
      </c>
      <c r="J59">
        <v>73.5</v>
      </c>
      <c r="K59">
        <f t="shared" si="54"/>
        <v>2.2315835015955469E-2</v>
      </c>
      <c r="M59">
        <f t="shared" si="55"/>
        <v>2.6578816949710525E-3</v>
      </c>
      <c r="O59">
        <v>7.2776599402033765E-2</v>
      </c>
      <c r="P59">
        <v>73.5</v>
      </c>
      <c r="Q59">
        <f t="shared" si="56"/>
        <v>1.4261793603088855E-2</v>
      </c>
      <c r="S59" s="3">
        <f t="shared" si="57"/>
        <v>3.4239824976882373E-3</v>
      </c>
      <c r="U59">
        <v>0.13569808564113986</v>
      </c>
      <c r="V59">
        <v>73.5</v>
      </c>
      <c r="W59">
        <f t="shared" si="58"/>
        <v>7.1866160764679818E-2</v>
      </c>
      <c r="Y59">
        <f t="shared" si="59"/>
        <v>4.0745146334340383E-3</v>
      </c>
      <c r="AA59">
        <v>9.4502579680082327E-2</v>
      </c>
      <c r="AB59">
        <v>73.5</v>
      </c>
      <c r="AC59">
        <f t="shared" si="60"/>
        <v>5.0006229401900561E-2</v>
      </c>
      <c r="AE59">
        <f t="shared" si="61"/>
        <v>1.9799251880786464E-3</v>
      </c>
      <c r="AG59">
        <v>0.13409420484194151</v>
      </c>
      <c r="AH59">
        <v>73.5</v>
      </c>
      <c r="AI59">
        <f t="shared" si="62"/>
        <v>9.1824759161311359E-2</v>
      </c>
      <c r="AK59" s="3">
        <f t="shared" si="63"/>
        <v>1.7867060381477431E-3</v>
      </c>
    </row>
    <row r="60" spans="2:37">
      <c r="C60">
        <v>6.9916293530792428E-2</v>
      </c>
      <c r="D60">
        <v>113</v>
      </c>
      <c r="E60">
        <f t="shared" si="52"/>
        <v>1.7324036242139133E-2</v>
      </c>
      <c r="G60">
        <f t="shared" si="53"/>
        <v>2.7659455267159063E-3</v>
      </c>
      <c r="I60">
        <v>7.6752641481157097E-2</v>
      </c>
      <c r="J60">
        <v>113</v>
      </c>
      <c r="K60">
        <f t="shared" si="54"/>
        <v>3.9361570735602897E-2</v>
      </c>
      <c r="M60">
        <f t="shared" si="55"/>
        <v>1.3980921714990392E-3</v>
      </c>
      <c r="O60">
        <v>8.0758804376332233E-2</v>
      </c>
      <c r="P60">
        <v>113</v>
      </c>
      <c r="Q60">
        <f t="shared" si="56"/>
        <v>2.7239756645921879E-2</v>
      </c>
      <c r="S60" s="3">
        <f t="shared" si="57"/>
        <v>2.8642884699699419E-3</v>
      </c>
      <c r="U60">
        <v>0.13981546205896273</v>
      </c>
      <c r="V60">
        <v>113</v>
      </c>
      <c r="W60">
        <f t="shared" si="58"/>
        <v>0.10122166144713501</v>
      </c>
      <c r="Y60">
        <f t="shared" si="59"/>
        <v>1.4894814456655129E-3</v>
      </c>
      <c r="AA60">
        <v>0.11617676028431434</v>
      </c>
      <c r="AB60">
        <v>113</v>
      </c>
      <c r="AC60">
        <f t="shared" si="60"/>
        <v>7.5332333572382518E-2</v>
      </c>
      <c r="AE60">
        <f t="shared" si="61"/>
        <v>1.6682671934263697E-3</v>
      </c>
      <c r="AG60">
        <v>0.13409420484194151</v>
      </c>
      <c r="AH60">
        <v>113</v>
      </c>
      <c r="AI60">
        <f t="shared" si="62"/>
        <v>0.12127908286860903</v>
      </c>
      <c r="AK60" s="3">
        <f t="shared" si="63"/>
        <v>1.6422735119138904E-4</v>
      </c>
    </row>
    <row r="61" spans="2:37">
      <c r="C61">
        <v>8.2608439071573295E-2</v>
      </c>
      <c r="D61">
        <v>166</v>
      </c>
      <c r="E61">
        <f t="shared" si="52"/>
        <v>3.4786817856014299E-2</v>
      </c>
      <c r="G61">
        <f t="shared" si="53"/>
        <v>2.2869074556844025E-3</v>
      </c>
      <c r="I61">
        <v>9.7917775461669271E-2</v>
      </c>
      <c r="J61">
        <v>166</v>
      </c>
      <c r="K61">
        <f t="shared" si="54"/>
        <v>6.5381921337441473E-2</v>
      </c>
      <c r="M61">
        <f t="shared" si="55"/>
        <v>1.0585818035930309E-3</v>
      </c>
      <c r="O61">
        <v>9.1646927773092288E-2</v>
      </c>
      <c r="P61">
        <v>166</v>
      </c>
      <c r="Q61">
        <f t="shared" si="56"/>
        <v>4.8584863465925575E-2</v>
      </c>
      <c r="S61" s="3">
        <f t="shared" si="57"/>
        <v>1.8543413823945613E-3</v>
      </c>
      <c r="U61">
        <v>0.15130300272542888</v>
      </c>
      <c r="V61">
        <v>166</v>
      </c>
      <c r="W61">
        <f t="shared" si="58"/>
        <v>0.13749460568370839</v>
      </c>
      <c r="Y61">
        <f t="shared" si="59"/>
        <v>1.9067182886179512E-4</v>
      </c>
      <c r="AA61">
        <v>0.1535142843390912</v>
      </c>
      <c r="AB61">
        <v>166</v>
      </c>
      <c r="AC61">
        <f t="shared" si="60"/>
        <v>0.10867054346658378</v>
      </c>
      <c r="AE61">
        <f t="shared" si="61"/>
        <v>2.0109610954405924E-3</v>
      </c>
      <c r="AG61">
        <v>0.15345172195517731</v>
      </c>
      <c r="AH61">
        <v>166</v>
      </c>
      <c r="AI61">
        <f t="shared" si="62"/>
        <v>0.15553541069411758</v>
      </c>
      <c r="AK61" s="3">
        <f t="shared" si="63"/>
        <v>4.3417587607864938E-6</v>
      </c>
    </row>
    <row r="62" spans="2:37">
      <c r="C62">
        <v>8.2608439071573295E-2</v>
      </c>
      <c r="D62">
        <v>188</v>
      </c>
      <c r="E62">
        <f t="shared" si="52"/>
        <v>4.3590092191086179E-2</v>
      </c>
      <c r="G62">
        <f t="shared" si="53"/>
        <v>1.5224313932860186E-3</v>
      </c>
      <c r="I62">
        <v>9.7917775461669271E-2</v>
      </c>
      <c r="J62">
        <v>188</v>
      </c>
      <c r="K62">
        <f t="shared" si="54"/>
        <v>7.705006100782423E-2</v>
      </c>
      <c r="M62">
        <f t="shared" si="55"/>
        <v>4.3546150652721324E-4</v>
      </c>
      <c r="O62">
        <v>9.1646927773092288E-2</v>
      </c>
      <c r="P62">
        <v>188</v>
      </c>
      <c r="Q62">
        <f t="shared" si="56"/>
        <v>5.8589445865665536E-2</v>
      </c>
      <c r="S62" s="3">
        <f t="shared" si="57"/>
        <v>1.092797110059847E-3</v>
      </c>
      <c r="U62">
        <v>0.15130300272542888</v>
      </c>
      <c r="V62">
        <v>188</v>
      </c>
      <c r="W62">
        <f t="shared" si="58"/>
        <v>0.15181951007386169</v>
      </c>
      <c r="Y62">
        <f t="shared" si="59"/>
        <v>2.6677984098509197E-7</v>
      </c>
      <c r="AA62">
        <v>0.1535142843390912</v>
      </c>
      <c r="AB62">
        <v>188</v>
      </c>
      <c r="AC62">
        <f t="shared" si="60"/>
        <v>0.12235041854653783</v>
      </c>
      <c r="AE62">
        <f t="shared" si="61"/>
        <v>9.7118653113627805E-4</v>
      </c>
      <c r="AG62">
        <v>0.15345172195517731</v>
      </c>
      <c r="AH62">
        <v>188</v>
      </c>
      <c r="AI62">
        <f t="shared" si="62"/>
        <v>0.16857433279392969</v>
      </c>
      <c r="AK62" s="3">
        <f t="shared" si="63"/>
        <v>2.2869335858035101E-4</v>
      </c>
    </row>
    <row r="63" spans="2:37">
      <c r="C63">
        <v>9.8012121337931649E-2</v>
      </c>
      <c r="D63">
        <v>237</v>
      </c>
      <c r="E63">
        <f t="shared" si="52"/>
        <v>6.6331947849837966E-2</v>
      </c>
      <c r="G63">
        <f t="shared" si="53"/>
        <v>1.0036333922357138E-3</v>
      </c>
      <c r="I63">
        <v>0.11789264656835664</v>
      </c>
      <c r="J63">
        <v>237</v>
      </c>
      <c r="K63">
        <f t="shared" si="54"/>
        <v>0.10459138391985633</v>
      </c>
      <c r="M63">
        <f t="shared" si="55"/>
        <v>1.7692358804438966E-4</v>
      </c>
      <c r="O63">
        <v>0.10382329494269295</v>
      </c>
      <c r="P63">
        <v>237</v>
      </c>
      <c r="Q63">
        <f t="shared" si="56"/>
        <v>8.3015424759879081E-2</v>
      </c>
      <c r="S63" s="3">
        <f t="shared" si="57"/>
        <v>4.3296746154483439E-4</v>
      </c>
      <c r="U63">
        <v>0.15487160345467024</v>
      </c>
      <c r="V63">
        <v>237</v>
      </c>
      <c r="W63">
        <f t="shared" si="58"/>
        <v>0.18257096374025331</v>
      </c>
      <c r="Y63">
        <f t="shared" si="59"/>
        <v>7.6725456023053621E-4</v>
      </c>
      <c r="AA63">
        <v>0.15615401263686601</v>
      </c>
      <c r="AB63">
        <v>237</v>
      </c>
      <c r="AC63">
        <f t="shared" si="60"/>
        <v>0.15255933745375333</v>
      </c>
      <c r="AE63">
        <f t="shared" si="61"/>
        <v>1.2921689672086204E-5</v>
      </c>
      <c r="AG63">
        <v>0.16261767826593376</v>
      </c>
      <c r="AH63">
        <v>237</v>
      </c>
      <c r="AI63">
        <f t="shared" si="62"/>
        <v>0.19582068398768612</v>
      </c>
      <c r="AK63" s="3">
        <f t="shared" si="63"/>
        <v>1.1024395889587199E-3</v>
      </c>
    </row>
    <row r="64" spans="2:37">
      <c r="C64">
        <v>0.11291824928376464</v>
      </c>
      <c r="D64">
        <v>276</v>
      </c>
      <c r="E64">
        <f t="shared" si="52"/>
        <v>8.742763796362929E-2</v>
      </c>
      <c r="G64">
        <f t="shared" si="53"/>
        <v>6.4977126547421222E-4</v>
      </c>
      <c r="I64">
        <v>0.13523840069172813</v>
      </c>
      <c r="J64">
        <v>276</v>
      </c>
      <c r="K64">
        <f t="shared" si="54"/>
        <v>0.12787654618037531</v>
      </c>
      <c r="M64">
        <f t="shared" si="55"/>
        <v>5.4196901846325904E-5</v>
      </c>
      <c r="O64">
        <v>0.11803811873836507</v>
      </c>
      <c r="P64">
        <v>276</v>
      </c>
      <c r="Q64">
        <f t="shared" si="56"/>
        <v>0.10439946677340051</v>
      </c>
      <c r="S64" s="3">
        <f t="shared" si="57"/>
        <v>1.8601282742143187E-4</v>
      </c>
      <c r="U64">
        <v>0.16868044686220399</v>
      </c>
      <c r="V64">
        <v>276</v>
      </c>
      <c r="W64">
        <f t="shared" si="58"/>
        <v>0.20611902233470972</v>
      </c>
      <c r="Y64">
        <f t="shared" si="59"/>
        <v>1.4016469334105076E-3</v>
      </c>
      <c r="AA64">
        <v>0.16403243657237754</v>
      </c>
      <c r="AB64">
        <v>276</v>
      </c>
      <c r="AC64">
        <f t="shared" si="60"/>
        <v>0.17638864845925631</v>
      </c>
      <c r="AE64">
        <f t="shared" si="61"/>
        <v>1.5267597219344422E-4</v>
      </c>
      <c r="AG64">
        <v>0.1805619185309198</v>
      </c>
      <c r="AH64">
        <v>276</v>
      </c>
      <c r="AI64">
        <f t="shared" si="62"/>
        <v>0.21609998392692731</v>
      </c>
      <c r="AK64" s="3">
        <f t="shared" si="63"/>
        <v>1.2629540920909067E-3</v>
      </c>
    </row>
    <row r="65" spans="3:37">
      <c r="C65">
        <v>0.11686835551555701</v>
      </c>
      <c r="D65">
        <v>305</v>
      </c>
      <c r="E65">
        <f t="shared" si="52"/>
        <v>0.10478541276342074</v>
      </c>
      <c r="G65">
        <f t="shared" si="53"/>
        <v>1.459975055514024E-4</v>
      </c>
      <c r="I65">
        <v>0.13523840069172813</v>
      </c>
      <c r="J65">
        <v>305</v>
      </c>
      <c r="K65">
        <f t="shared" si="54"/>
        <v>0.1458956392853098</v>
      </c>
      <c r="M65">
        <f t="shared" si="55"/>
        <v>1.135767344405266E-4</v>
      </c>
      <c r="O65">
        <v>0.12719416601667866</v>
      </c>
      <c r="P65">
        <v>305</v>
      </c>
      <c r="Q65">
        <f t="shared" si="56"/>
        <v>0.12133332715917544</v>
      </c>
      <c r="S65" s="3">
        <f t="shared" si="57"/>
        <v>3.4349432113619584E-5</v>
      </c>
      <c r="U65">
        <v>0.1758394944866335</v>
      </c>
      <c r="V65">
        <v>305</v>
      </c>
      <c r="W65">
        <f t="shared" si="58"/>
        <v>0.22318850362035975</v>
      </c>
      <c r="Y65">
        <f t="shared" si="59"/>
        <v>2.2419286659456916E-3</v>
      </c>
      <c r="AA65">
        <v>0.16858572453703724</v>
      </c>
      <c r="AB65">
        <v>305</v>
      </c>
      <c r="AC65">
        <f t="shared" si="60"/>
        <v>0.19400339876592665</v>
      </c>
      <c r="AE65">
        <f t="shared" si="61"/>
        <v>6.4605816320594878E-4</v>
      </c>
      <c r="AG65">
        <v>0.1805619185309198</v>
      </c>
      <c r="AH65">
        <v>305</v>
      </c>
      <c r="AI65">
        <f t="shared" si="62"/>
        <v>0.23052716586850902</v>
      </c>
      <c r="AK65" s="3">
        <f t="shared" si="63"/>
        <v>2.4965259415064673E-3</v>
      </c>
    </row>
    <row r="66" spans="3:37">
      <c r="C66">
        <v>0.12631282091875182</v>
      </c>
      <c r="D66">
        <v>376</v>
      </c>
      <c r="E66">
        <f t="shared" si="52"/>
        <v>0.1531258842494834</v>
      </c>
      <c r="G66">
        <f t="shared" si="53"/>
        <v>7.189403651778225E-4</v>
      </c>
      <c r="I66">
        <v>0.16529918864867316</v>
      </c>
      <c r="J66">
        <v>376</v>
      </c>
      <c r="K66">
        <f t="shared" si="54"/>
        <v>0.19229296612035884</v>
      </c>
      <c r="M66">
        <f t="shared" si="55"/>
        <v>7.286640221908857E-4</v>
      </c>
      <c r="O66">
        <v>0.15265111804708228</v>
      </c>
      <c r="P66">
        <v>376</v>
      </c>
      <c r="Q66">
        <f t="shared" si="56"/>
        <v>0.16623482713941451</v>
      </c>
      <c r="S66" s="3">
        <f t="shared" si="57"/>
        <v>1.8451715270510915E-4</v>
      </c>
      <c r="U66">
        <v>0.20134821443708165</v>
      </c>
      <c r="V66">
        <v>376</v>
      </c>
      <c r="W66">
        <f t="shared" si="58"/>
        <v>0.26366317170942999</v>
      </c>
      <c r="Y66">
        <f t="shared" si="59"/>
        <v>3.8831538998545996E-3</v>
      </c>
      <c r="AA66">
        <v>0.18248204571310611</v>
      </c>
      <c r="AB66">
        <v>376</v>
      </c>
      <c r="AC66">
        <f t="shared" si="60"/>
        <v>0.23680945352306593</v>
      </c>
      <c r="AE66">
        <f t="shared" si="61"/>
        <v>2.9514672393496826E-3</v>
      </c>
      <c r="AG66">
        <v>0.20897213293218778</v>
      </c>
      <c r="AH66">
        <v>376</v>
      </c>
      <c r="AI66">
        <f t="shared" si="62"/>
        <v>0.26394482641867728</v>
      </c>
      <c r="AK66" s="3">
        <f t="shared" si="63"/>
        <v>3.0219970291595257E-3</v>
      </c>
    </row>
    <row r="67" spans="3:37">
      <c r="C67">
        <v>0.16210237402559532</v>
      </c>
      <c r="D67">
        <v>408.5</v>
      </c>
      <c r="E67">
        <f t="shared" si="52"/>
        <v>0.17795553813096246</v>
      </c>
      <c r="G67">
        <f t="shared" si="53"/>
        <v>2.5132281215170093E-4</v>
      </c>
      <c r="I67">
        <v>0.2024138939667155</v>
      </c>
      <c r="J67">
        <v>408.5</v>
      </c>
      <c r="K67">
        <f t="shared" si="54"/>
        <v>0.21452046451223014</v>
      </c>
      <c r="M67">
        <f t="shared" si="55"/>
        <v>1.4656905037352275E-4</v>
      </c>
      <c r="O67">
        <v>0.18134555216399384</v>
      </c>
      <c r="P67">
        <v>408.5</v>
      </c>
      <c r="Q67">
        <f t="shared" si="56"/>
        <v>0.18831751622152668</v>
      </c>
      <c r="S67" s="3">
        <f t="shared" si="57"/>
        <v>4.8608282819529738E-5</v>
      </c>
      <c r="U67">
        <v>0.21463881106587526</v>
      </c>
      <c r="V67">
        <v>408.5</v>
      </c>
      <c r="W67">
        <f t="shared" si="58"/>
        <v>0.28165731097799745</v>
      </c>
      <c r="Y67">
        <f t="shared" si="59"/>
        <v>4.4914793304711223E-3</v>
      </c>
      <c r="AA67">
        <v>0.21128171091233386</v>
      </c>
      <c r="AB67">
        <v>408.5</v>
      </c>
      <c r="AC67">
        <f t="shared" si="60"/>
        <v>0.25627162759717881</v>
      </c>
      <c r="AE67">
        <f t="shared" si="61"/>
        <v>2.02409260330929E-3</v>
      </c>
      <c r="AG67">
        <v>0.23646024608320795</v>
      </c>
      <c r="AH67">
        <v>408.5</v>
      </c>
      <c r="AI67">
        <f t="shared" si="62"/>
        <v>0.27848546625879483</v>
      </c>
      <c r="AK67" s="3">
        <f t="shared" si="63"/>
        <v>1.7661191308065546E-3</v>
      </c>
    </row>
    <row r="68" spans="3:37">
      <c r="C68">
        <v>0.17820560176898126</v>
      </c>
      <c r="D68">
        <v>452</v>
      </c>
      <c r="E68">
        <f t="shared" si="52"/>
        <v>0.21378179919158483</v>
      </c>
      <c r="G68">
        <f t="shared" si="53"/>
        <v>1.2656658230520647E-3</v>
      </c>
      <c r="I68">
        <v>0.2024138939667155</v>
      </c>
      <c r="J68">
        <v>452</v>
      </c>
      <c r="K68">
        <f t="shared" si="54"/>
        <v>0.24516204982213285</v>
      </c>
      <c r="M68">
        <f t="shared" si="55"/>
        <v>1.8274048290390533E-3</v>
      </c>
      <c r="O68">
        <v>0.18134555216399384</v>
      </c>
      <c r="P68">
        <v>452</v>
      </c>
      <c r="Q68">
        <f t="shared" si="56"/>
        <v>0.21928477252118736</v>
      </c>
      <c r="S68" s="3">
        <f t="shared" si="57"/>
        <v>1.4393844413116872E-3</v>
      </c>
      <c r="U68">
        <v>0.2261347447008675</v>
      </c>
      <c r="V68">
        <v>452</v>
      </c>
      <c r="W68">
        <f t="shared" si="58"/>
        <v>0.30529327266735973</v>
      </c>
      <c r="Y68">
        <f t="shared" si="59"/>
        <v>6.266072549821932E-3</v>
      </c>
      <c r="AA68">
        <v>0.21490209172322186</v>
      </c>
      <c r="AB68">
        <v>452</v>
      </c>
      <c r="AC68">
        <f t="shared" si="60"/>
        <v>0.28220751416857959</v>
      </c>
      <c r="AE68">
        <f t="shared" si="61"/>
        <v>4.5300198905480638E-3</v>
      </c>
      <c r="AG68">
        <v>0.23646024608320795</v>
      </c>
      <c r="AH68">
        <v>452</v>
      </c>
      <c r="AI68">
        <f t="shared" si="62"/>
        <v>0.29732355223787282</v>
      </c>
      <c r="AK68" s="3">
        <f t="shared" si="63"/>
        <v>3.7043420360764667E-3</v>
      </c>
    </row>
    <row r="69" spans="3:37">
      <c r="C69">
        <v>0.2103516485771873</v>
      </c>
      <c r="D69">
        <v>500</v>
      </c>
      <c r="E69">
        <f t="shared" si="52"/>
        <v>0.25669762327233736</v>
      </c>
      <c r="G69">
        <f t="shared" si="53"/>
        <v>2.1479493704434898E-3</v>
      </c>
      <c r="I69">
        <v>0.2024138939667155</v>
      </c>
      <c r="J69">
        <v>500</v>
      </c>
      <c r="K69">
        <f t="shared" si="54"/>
        <v>0.28008269829641697</v>
      </c>
      <c r="M69">
        <f t="shared" si="55"/>
        <v>6.0324431660054535E-3</v>
      </c>
      <c r="O69">
        <v>0.18134555216399384</v>
      </c>
      <c r="P69">
        <v>500</v>
      </c>
      <c r="Q69">
        <f t="shared" si="56"/>
        <v>0.25524280424453488</v>
      </c>
      <c r="S69" s="3">
        <f t="shared" si="57"/>
        <v>5.4608038650550278E-3</v>
      </c>
      <c r="U69">
        <v>0.27771328706789805</v>
      </c>
      <c r="V69">
        <v>500</v>
      </c>
      <c r="W69">
        <f t="shared" si="58"/>
        <v>0.33084305083651888</v>
      </c>
      <c r="Y69">
        <f t="shared" si="59"/>
        <v>2.8227717981094548E-3</v>
      </c>
      <c r="AA69">
        <v>0.25928656801055033</v>
      </c>
      <c r="AB69">
        <v>500</v>
      </c>
      <c r="AC69">
        <f t="shared" si="60"/>
        <v>0.31068997800957138</v>
      </c>
      <c r="AE69">
        <f t="shared" si="61"/>
        <v>2.6423105595274566E-3</v>
      </c>
      <c r="AG69">
        <v>0.25674932391857569</v>
      </c>
      <c r="AH69">
        <v>500</v>
      </c>
      <c r="AI69">
        <f t="shared" si="62"/>
        <v>0.31738166150403319</v>
      </c>
      <c r="AK69" s="3">
        <f t="shared" si="63"/>
        <v>3.6762803610768816E-3</v>
      </c>
    </row>
    <row r="70" spans="3:37">
      <c r="C70">
        <v>0.25572557790168948</v>
      </c>
      <c r="D70">
        <v>548</v>
      </c>
      <c r="E70">
        <f t="shared" si="52"/>
        <v>0.30309885094940253</v>
      </c>
      <c r="G70">
        <f t="shared" si="53"/>
        <v>2.2442269992531756E-3</v>
      </c>
      <c r="I70">
        <v>0.27274073251076691</v>
      </c>
      <c r="J70">
        <v>548</v>
      </c>
      <c r="K70">
        <f t="shared" si="54"/>
        <v>0.31609224367015798</v>
      </c>
      <c r="M70">
        <f t="shared" si="55"/>
        <v>1.8793535198028081E-3</v>
      </c>
      <c r="O70">
        <v>0.24147622988445944</v>
      </c>
      <c r="P70">
        <v>548</v>
      </c>
      <c r="Q70">
        <f t="shared" si="56"/>
        <v>0.29298735861975506</v>
      </c>
      <c r="S70" s="3">
        <f t="shared" si="57"/>
        <v>2.653396383584198E-3</v>
      </c>
      <c r="U70">
        <v>0.33987781847969023</v>
      </c>
      <c r="V70">
        <v>548</v>
      </c>
      <c r="W70">
        <f t="shared" si="58"/>
        <v>0.35589731262414914</v>
      </c>
      <c r="Y70">
        <f t="shared" si="59"/>
        <v>2.5662419264435338E-4</v>
      </c>
      <c r="AA70">
        <v>0.319858323885022</v>
      </c>
      <c r="AB70">
        <v>548</v>
      </c>
      <c r="AC70">
        <f t="shared" si="60"/>
        <v>0.33904321950074712</v>
      </c>
      <c r="AE70">
        <f t="shared" si="61"/>
        <v>3.680602197862688E-4</v>
      </c>
      <c r="AG70">
        <v>0.3171846153057396</v>
      </c>
      <c r="AH70">
        <v>548</v>
      </c>
      <c r="AI70">
        <f t="shared" si="62"/>
        <v>0.33676996054929936</v>
      </c>
      <c r="AK70" s="3">
        <f t="shared" si="63"/>
        <v>3.8358574830942889E-4</v>
      </c>
    </row>
    <row r="71" spans="3:37">
      <c r="C71">
        <v>0.42070329715437438</v>
      </c>
      <c r="D71">
        <v>620</v>
      </c>
      <c r="E71">
        <f t="shared" si="52"/>
        <v>0.37910742725434221</v>
      </c>
      <c r="G71">
        <f t="shared" si="53"/>
        <v>1.7302163927404022E-3</v>
      </c>
      <c r="I71">
        <v>0.42896388410109532</v>
      </c>
      <c r="J71">
        <v>620</v>
      </c>
      <c r="K71">
        <f t="shared" si="54"/>
        <v>0.37200639179067041</v>
      </c>
      <c r="M71">
        <f t="shared" si="55"/>
        <v>3.2441559302921123E-3</v>
      </c>
      <c r="O71">
        <v>0.3680601781448008</v>
      </c>
      <c r="P71">
        <v>620</v>
      </c>
      <c r="Q71">
        <f t="shared" si="56"/>
        <v>0.35278276750285764</v>
      </c>
      <c r="S71" s="3">
        <f t="shared" si="57"/>
        <v>2.3339927592255801E-4</v>
      </c>
      <c r="U71">
        <v>0.40506892920614174</v>
      </c>
      <c r="V71">
        <v>620</v>
      </c>
      <c r="W71">
        <f t="shared" si="58"/>
        <v>0.39266060928324886</v>
      </c>
      <c r="Y71">
        <f t="shared" si="59"/>
        <v>1.5396640330886022E-4</v>
      </c>
      <c r="AA71">
        <v>0.39019538977924673</v>
      </c>
      <c r="AB71">
        <v>620</v>
      </c>
      <c r="AC71">
        <f t="shared" si="60"/>
        <v>0.38135618766624124</v>
      </c>
      <c r="AE71">
        <f t="shared" si="61"/>
        <v>7.8131493994560618E-5</v>
      </c>
      <c r="AG71">
        <v>0.37215352055491657</v>
      </c>
      <c r="AH71">
        <v>620</v>
      </c>
      <c r="AI71">
        <f t="shared" si="62"/>
        <v>0.36476384633602049</v>
      </c>
      <c r="AK71" s="3">
        <f t="shared" si="63"/>
        <v>5.4607285061417397E-5</v>
      </c>
    </row>
    <row r="72" spans="3:37">
      <c r="C72">
        <v>0.49771003549067444</v>
      </c>
      <c r="D72">
        <v>716</v>
      </c>
      <c r="E72">
        <f t="shared" si="52"/>
        <v>0.49214302883174582</v>
      </c>
      <c r="G72">
        <f t="shared" si="53"/>
        <v>3.0991563140555592E-5</v>
      </c>
      <c r="I72">
        <v>0.50121311436177807</v>
      </c>
      <c r="J72">
        <v>716</v>
      </c>
      <c r="K72">
        <f t="shared" si="54"/>
        <v>0.44982482895024806</v>
      </c>
      <c r="M72">
        <f t="shared" si="55"/>
        <v>2.6407558775368681E-3</v>
      </c>
      <c r="O72">
        <v>0.45051392147100477</v>
      </c>
      <c r="P72">
        <v>716</v>
      </c>
      <c r="Q72">
        <f t="shared" si="56"/>
        <v>0.43809806052581735</v>
      </c>
      <c r="S72" s="3">
        <f t="shared" si="57"/>
        <v>1.5415360301023048E-4</v>
      </c>
      <c r="U72">
        <v>0.48654022122284185</v>
      </c>
      <c r="V72">
        <v>716</v>
      </c>
      <c r="W72">
        <f t="shared" si="58"/>
        <v>0.44035760763280002</v>
      </c>
      <c r="Y72">
        <f t="shared" si="59"/>
        <v>2.1328337980071163E-3</v>
      </c>
      <c r="AA72">
        <v>0.45780556628065516</v>
      </c>
      <c r="AB72">
        <v>716</v>
      </c>
      <c r="AC72">
        <f t="shared" si="60"/>
        <v>0.4374166888251439</v>
      </c>
      <c r="AE72">
        <f t="shared" si="61"/>
        <v>4.1570632389585562E-4</v>
      </c>
      <c r="AG72">
        <v>0.45232286245724368</v>
      </c>
      <c r="AH72">
        <v>716</v>
      </c>
      <c r="AI72">
        <f t="shared" si="62"/>
        <v>0.40036287985307567</v>
      </c>
      <c r="AK72" s="3">
        <f t="shared" si="63"/>
        <v>2.6998397922254423E-3</v>
      </c>
    </row>
    <row r="73" spans="3:37">
      <c r="C73">
        <v>0.60475572244064868</v>
      </c>
      <c r="D73">
        <v>788</v>
      </c>
      <c r="E73">
        <f t="shared" si="52"/>
        <v>0.58549249179262552</v>
      </c>
      <c r="G73">
        <f t="shared" si="53"/>
        <v>3.7107205499893858E-4</v>
      </c>
      <c r="M73">
        <f>SUM(M50:M72)</f>
        <v>3.8858732937937276E-2</v>
      </c>
      <c r="O73">
        <v>0.552078747577189</v>
      </c>
      <c r="P73">
        <v>788</v>
      </c>
      <c r="Q73">
        <f t="shared" si="56"/>
        <v>0.50603295053037978</v>
      </c>
      <c r="S73" s="3">
        <f>SUM(S50:S72)</f>
        <v>3.9966810775421815E-2</v>
      </c>
      <c r="U73">
        <v>0.59277843408479147</v>
      </c>
      <c r="V73">
        <v>788</v>
      </c>
      <c r="W73">
        <f t="shared" si="58"/>
        <v>0.47527361883597125</v>
      </c>
      <c r="Y73">
        <f t="shared" si="59"/>
        <v>1.3807381606659374E-2</v>
      </c>
      <c r="AA73">
        <v>0.56324816019752377</v>
      </c>
      <c r="AB73">
        <v>788</v>
      </c>
      <c r="AC73">
        <f t="shared" si="60"/>
        <v>0.47922620450044034</v>
      </c>
      <c r="AE73">
        <f t="shared" si="61"/>
        <v>7.0596890391626506E-3</v>
      </c>
      <c r="AG73">
        <v>0.55289201311949698</v>
      </c>
      <c r="AH73">
        <v>788</v>
      </c>
      <c r="AI73">
        <f t="shared" si="62"/>
        <v>0.42596249508157247</v>
      </c>
      <c r="AK73" s="3">
        <f>SUM(AK50:AK72)</f>
        <v>5.6423170161150615E-2</v>
      </c>
    </row>
    <row r="74" spans="3:37">
      <c r="G74">
        <f>SUM(G50:G73)</f>
        <v>3.6715762198377758E-2</v>
      </c>
      <c r="Y74">
        <f>SUM(Y50:Y73)</f>
        <v>9.2938930848203941E-2</v>
      </c>
      <c r="AE74">
        <f>SUM(AE50:AE73)</f>
        <v>4.0900832912177866E-2</v>
      </c>
    </row>
    <row r="92" spans="2:36">
      <c r="B92" t="s">
        <v>24</v>
      </c>
      <c r="C92" t="s">
        <v>43</v>
      </c>
      <c r="D92" t="s">
        <v>27</v>
      </c>
      <c r="E92" t="s">
        <v>44</v>
      </c>
      <c r="G92" t="s">
        <v>47</v>
      </c>
      <c r="H92" t="s">
        <v>25</v>
      </c>
      <c r="I92" t="s">
        <v>43</v>
      </c>
      <c r="J92" t="s">
        <v>27</v>
      </c>
      <c r="K92" t="s">
        <v>46</v>
      </c>
      <c r="M92" t="s">
        <v>47</v>
      </c>
      <c r="N92" t="s">
        <v>29</v>
      </c>
      <c r="O92" t="s">
        <v>43</v>
      </c>
      <c r="P92" t="s">
        <v>27</v>
      </c>
      <c r="Q92" t="s">
        <v>46</v>
      </c>
      <c r="T92" t="s">
        <v>31</v>
      </c>
      <c r="U92" t="s">
        <v>43</v>
      </c>
      <c r="V92" t="s">
        <v>27</v>
      </c>
      <c r="W92" t="s">
        <v>46</v>
      </c>
      <c r="Y92" t="s">
        <v>47</v>
      </c>
      <c r="Z92" t="s">
        <v>32</v>
      </c>
      <c r="AA92" t="s">
        <v>26</v>
      </c>
      <c r="AB92" t="s">
        <v>27</v>
      </c>
      <c r="AC92" t="s">
        <v>28</v>
      </c>
      <c r="AE92" t="s">
        <v>47</v>
      </c>
      <c r="AF92" t="s">
        <v>34</v>
      </c>
      <c r="AG92" t="s">
        <v>26</v>
      </c>
      <c r="AH92" t="s">
        <v>27</v>
      </c>
      <c r="AI92" t="s">
        <v>28</v>
      </c>
    </row>
    <row r="93" spans="2:36">
      <c r="C93">
        <v>1.2304726945918807E-2</v>
      </c>
      <c r="D93">
        <v>0.5</v>
      </c>
      <c r="E93">
        <f t="shared" ref="E93:E116" si="64">F$93*(D93^F$94)</f>
        <v>2.9434651590771994E-4</v>
      </c>
      <c r="F93">
        <v>5.7530387480008588E-4</v>
      </c>
      <c r="G93">
        <f>ABS(C93-E93)</f>
        <v>1.2010380430011087E-2</v>
      </c>
      <c r="I93">
        <v>1.2952541102827082E-2</v>
      </c>
      <c r="J93">
        <v>0.5</v>
      </c>
      <c r="K93" s="2">
        <f t="shared" ref="K93:K115" si="65">L$93*J93^L$94</f>
        <v>3.4339492744712862E-5</v>
      </c>
      <c r="L93" s="2">
        <v>8.4243546718020085E-5</v>
      </c>
      <c r="M93">
        <f>ABS(I93-K93)</f>
        <v>1.2918201610082369E-2</v>
      </c>
      <c r="O93">
        <v>1.2207408114204151E-2</v>
      </c>
      <c r="P93">
        <v>0.5</v>
      </c>
      <c r="Q93">
        <f t="shared" ref="Q93:Q116" si="66">R$93*P93^R$94</f>
        <v>2.7752507116772637E-4</v>
      </c>
      <c r="R93">
        <v>5.4250743252774443E-4</v>
      </c>
      <c r="U93">
        <v>2.6405895022402575E-2</v>
      </c>
      <c r="V93">
        <v>0.5</v>
      </c>
      <c r="W93">
        <f t="shared" ref="W93:W116" si="67">X$93*V93^X$94</f>
        <v>1.3638886683397524E-3</v>
      </c>
      <c r="X93">
        <v>2.3556279745573505E-3</v>
      </c>
      <c r="Y93">
        <f>ABS(U93-W93)</f>
        <v>2.5042006354062823E-2</v>
      </c>
      <c r="AA93">
        <v>6.2108538893900717E-3</v>
      </c>
      <c r="AB93">
        <v>0.5</v>
      </c>
      <c r="AC93">
        <f t="shared" ref="AC93:AC116" si="68">AD$93*AB93^AD$94</f>
        <v>4.300052531069768E-4</v>
      </c>
      <c r="AD93">
        <v>8.3427028658118187E-4</v>
      </c>
      <c r="AE93">
        <f>ABS(AA93-AC93)</f>
        <v>5.7808486362830947E-3</v>
      </c>
      <c r="AG93">
        <v>3.6846732784694379E-2</v>
      </c>
      <c r="AH93">
        <v>0.5</v>
      </c>
      <c r="AI93">
        <f t="shared" ref="AI93:AI116" si="69">AJ$93*AH93^AJ$94</f>
        <v>6.6444289935126237E-3</v>
      </c>
      <c r="AJ93">
        <v>9.6119662764004663E-3</v>
      </c>
    </row>
    <row r="94" spans="2:36">
      <c r="C94">
        <v>2.8255011022371983E-2</v>
      </c>
      <c r="D94">
        <v>1</v>
      </c>
      <c r="E94">
        <f t="shared" si="64"/>
        <v>5.7530387480008588E-4</v>
      </c>
      <c r="F94">
        <v>0.9668086361291417</v>
      </c>
      <c r="G94">
        <f t="shared" ref="G94:G116" si="70">ABS(C94-E94)</f>
        <v>2.7679707147571897E-2</v>
      </c>
      <c r="I94">
        <v>2.5761641386414614E-2</v>
      </c>
      <c r="J94">
        <v>1</v>
      </c>
      <c r="K94" s="2">
        <f t="shared" si="65"/>
        <v>8.4243546718020085E-5</v>
      </c>
      <c r="L94">
        <v>1.2946974478817315</v>
      </c>
      <c r="M94">
        <f t="shared" ref="M94:M115" si="71">ABS(I94-K94)</f>
        <v>2.5677397839696595E-2</v>
      </c>
      <c r="O94">
        <v>2.5863002713814497E-2</v>
      </c>
      <c r="P94">
        <v>1</v>
      </c>
      <c r="Q94">
        <f t="shared" si="66"/>
        <v>5.4250743252774443E-4</v>
      </c>
      <c r="R94">
        <v>0.96702479498712379</v>
      </c>
      <c r="U94">
        <v>5.7360193290059189E-2</v>
      </c>
      <c r="V94">
        <v>1</v>
      </c>
      <c r="W94">
        <f t="shared" si="67"/>
        <v>2.3556279745573505E-3</v>
      </c>
      <c r="X94">
        <v>0.78838582695424397</v>
      </c>
      <c r="Y94">
        <f t="shared" ref="Y94:Y116" si="72">ABS(U94-W94)</f>
        <v>5.5004565315501838E-2</v>
      </c>
      <c r="AA94">
        <v>2.0893068330793543E-2</v>
      </c>
      <c r="AB94">
        <v>1</v>
      </c>
      <c r="AC94">
        <f t="shared" si="68"/>
        <v>8.3427028658118187E-4</v>
      </c>
      <c r="AD94">
        <v>0.95616057877944993</v>
      </c>
      <c r="AE94">
        <f t="shared" ref="AE94:AE116" si="73">ABS(AA94-AC94)</f>
        <v>2.0058798044212362E-2</v>
      </c>
      <c r="AG94">
        <v>5.8890764577618347E-2</v>
      </c>
      <c r="AH94">
        <v>1</v>
      </c>
      <c r="AI94">
        <f t="shared" si="69"/>
        <v>9.6119662764004663E-3</v>
      </c>
      <c r="AJ94">
        <v>0.53268636374437306</v>
      </c>
    </row>
    <row r="95" spans="2:36">
      <c r="C95">
        <v>3.4947115163244988E-2</v>
      </c>
      <c r="D95">
        <v>2</v>
      </c>
      <c r="E95">
        <f t="shared" si="64"/>
        <v>1.1244384780275643E-3</v>
      </c>
      <c r="G95">
        <f t="shared" si="70"/>
        <v>3.382267668521742E-2</v>
      </c>
      <c r="I95">
        <v>3.7456138493777519E-2</v>
      </c>
      <c r="J95">
        <v>2</v>
      </c>
      <c r="K95" s="2">
        <f t="shared" si="65"/>
        <v>2.0667093763998396E-4</v>
      </c>
      <c r="M95">
        <f t="shared" si="71"/>
        <v>3.7249467556137533E-2</v>
      </c>
      <c r="O95">
        <v>3.8632915642263302E-2</v>
      </c>
      <c r="P95">
        <v>2</v>
      </c>
      <c r="Q95">
        <f t="shared" si="66"/>
        <v>1.0604963115925911E-3</v>
      </c>
      <c r="U95">
        <v>7.7776275385783522E-2</v>
      </c>
      <c r="V95">
        <v>2</v>
      </c>
      <c r="W95">
        <f t="shared" si="67"/>
        <v>4.0685015451238293E-3</v>
      </c>
      <c r="Y95">
        <f t="shared" si="72"/>
        <v>7.3707773840659699E-2</v>
      </c>
      <c r="AA95">
        <v>3.171978526784245E-2</v>
      </c>
      <c r="AB95">
        <v>2</v>
      </c>
      <c r="AC95">
        <f t="shared" si="68"/>
        <v>1.6186009497402454E-3</v>
      </c>
      <c r="AE95">
        <f t="shared" si="73"/>
        <v>3.0101184318102204E-2</v>
      </c>
      <c r="AG95">
        <v>7.9144356228458876E-2</v>
      </c>
      <c r="AH95">
        <v>2</v>
      </c>
      <c r="AI95">
        <f t="shared" si="69"/>
        <v>1.3904866135053281E-2</v>
      </c>
    </row>
    <row r="96" spans="2:36">
      <c r="C96">
        <v>3.893049602640801E-2</v>
      </c>
      <c r="D96">
        <v>3</v>
      </c>
      <c r="E96">
        <f t="shared" si="64"/>
        <v>1.6641108363680947E-3</v>
      </c>
      <c r="G96">
        <f t="shared" si="70"/>
        <v>3.7266385190039913E-2</v>
      </c>
      <c r="I96">
        <v>4.2893132908380316E-2</v>
      </c>
      <c r="J96">
        <v>3</v>
      </c>
      <c r="K96" s="2">
        <f t="shared" si="65"/>
        <v>3.4935286846582447E-4</v>
      </c>
      <c r="M96">
        <f t="shared" si="71"/>
        <v>4.2543780039914492E-2</v>
      </c>
      <c r="O96">
        <v>4.0143933463858431E-2</v>
      </c>
      <c r="P96">
        <v>3</v>
      </c>
      <c r="Q96">
        <f t="shared" si="66"/>
        <v>1.5696172974659765E-3</v>
      </c>
      <c r="U96">
        <v>9.3391124283336902E-2</v>
      </c>
      <c r="V96">
        <v>3</v>
      </c>
      <c r="W96">
        <f t="shared" si="67"/>
        <v>5.6009582853693476E-3</v>
      </c>
      <c r="Y96">
        <f t="shared" si="72"/>
        <v>8.7790165997967559E-2</v>
      </c>
      <c r="AA96">
        <v>4.0487505475943715E-2</v>
      </c>
      <c r="AB96">
        <v>3</v>
      </c>
      <c r="AC96">
        <f t="shared" si="68"/>
        <v>2.3851259145071676E-3</v>
      </c>
      <c r="AE96">
        <f t="shared" si="73"/>
        <v>3.8102379561436549E-2</v>
      </c>
      <c r="AG96">
        <v>8.9633284536118712E-2</v>
      </c>
      <c r="AH96">
        <v>3</v>
      </c>
      <c r="AI96">
        <f t="shared" si="69"/>
        <v>1.7257116249217389E-2</v>
      </c>
    </row>
    <row r="97" spans="3:35">
      <c r="C97">
        <v>4.2114103645149094E-2</v>
      </c>
      <c r="D97">
        <v>4</v>
      </c>
      <c r="E97">
        <f t="shared" si="64"/>
        <v>2.1977287938627263E-3</v>
      </c>
      <c r="G97">
        <f t="shared" si="70"/>
        <v>3.9916374851286365E-2</v>
      </c>
      <c r="I97">
        <v>4.4501222866797904E-2</v>
      </c>
      <c r="J97">
        <v>4</v>
      </c>
      <c r="K97" s="2">
        <f t="shared" si="65"/>
        <v>5.0701659805419438E-4</v>
      </c>
      <c r="M97">
        <f t="shared" si="71"/>
        <v>4.3994206268743709E-2</v>
      </c>
      <c r="O97">
        <v>4.8633897405145711E-2</v>
      </c>
      <c r="P97">
        <v>4</v>
      </c>
      <c r="Q97">
        <f t="shared" si="66"/>
        <v>2.0730636291217525E-3</v>
      </c>
      <c r="U97">
        <v>9.9423413656468063E-2</v>
      </c>
      <c r="V97">
        <v>4</v>
      </c>
      <c r="W97">
        <f t="shared" si="67"/>
        <v>7.0268756363302369E-3</v>
      </c>
      <c r="Y97">
        <f t="shared" si="72"/>
        <v>9.2396538020137822E-2</v>
      </c>
      <c r="AA97">
        <v>4.3740207518203726E-2</v>
      </c>
      <c r="AB97">
        <v>4</v>
      </c>
      <c r="AC97">
        <f t="shared" si="68"/>
        <v>3.1403120507098254E-3</v>
      </c>
      <c r="AE97">
        <f t="shared" si="73"/>
        <v>4.0599895467493902E-2</v>
      </c>
      <c r="AG97">
        <v>9.9604463681244246E-2</v>
      </c>
      <c r="AH97">
        <v>4</v>
      </c>
      <c r="AI97">
        <f t="shared" si="69"/>
        <v>2.0115062482944583E-2</v>
      </c>
    </row>
    <row r="98" spans="3:35">
      <c r="C98">
        <v>5.2977101923391001E-2</v>
      </c>
      <c r="D98">
        <v>26</v>
      </c>
      <c r="E98">
        <f t="shared" si="64"/>
        <v>1.3424735933381853E-2</v>
      </c>
      <c r="G98">
        <f t="shared" si="70"/>
        <v>3.955236599000915E-2</v>
      </c>
      <c r="I98">
        <v>5.7946082622391336E-2</v>
      </c>
      <c r="J98">
        <v>26</v>
      </c>
      <c r="K98" s="2">
        <f t="shared" si="65"/>
        <v>5.7213567036857611E-3</v>
      </c>
      <c r="M98">
        <f t="shared" si="71"/>
        <v>5.2224725918705577E-2</v>
      </c>
      <c r="O98">
        <v>6.2234199156124208E-2</v>
      </c>
      <c r="P98">
        <v>26</v>
      </c>
      <c r="Q98">
        <f t="shared" si="66"/>
        <v>1.2668348563582552E-2</v>
      </c>
      <c r="U98">
        <v>0.12050017091344904</v>
      </c>
      <c r="V98">
        <v>26</v>
      </c>
      <c r="W98">
        <f t="shared" si="67"/>
        <v>3.0736303525143168E-2</v>
      </c>
      <c r="Y98">
        <f t="shared" si="72"/>
        <v>8.9763867388305871E-2</v>
      </c>
      <c r="AA98">
        <v>6.459116260490802E-2</v>
      </c>
      <c r="AB98">
        <v>26</v>
      </c>
      <c r="AC98">
        <f t="shared" si="68"/>
        <v>1.8803925044665701E-2</v>
      </c>
      <c r="AE98">
        <f t="shared" si="73"/>
        <v>4.5787237560242319E-2</v>
      </c>
      <c r="AG98">
        <v>0.11287124933233532</v>
      </c>
      <c r="AH98">
        <v>26</v>
      </c>
      <c r="AI98">
        <f t="shared" si="69"/>
        <v>5.451917130868722E-2</v>
      </c>
    </row>
    <row r="99" spans="3:35">
      <c r="C99">
        <v>5.2977101923391001E-2</v>
      </c>
      <c r="D99">
        <v>29</v>
      </c>
      <c r="E99">
        <f t="shared" si="64"/>
        <v>1.4919570223506177E-2</v>
      </c>
      <c r="G99">
        <f t="shared" si="70"/>
        <v>3.8057531699884822E-2</v>
      </c>
      <c r="I99">
        <v>5.7946082622391336E-2</v>
      </c>
      <c r="J99">
        <v>29</v>
      </c>
      <c r="K99" s="2">
        <f t="shared" si="65"/>
        <v>6.5902152284977389E-3</v>
      </c>
      <c r="M99">
        <f t="shared" si="71"/>
        <v>5.1355867393893598E-2</v>
      </c>
      <c r="O99">
        <v>6.2234199156124208E-2</v>
      </c>
      <c r="P99">
        <v>29</v>
      </c>
      <c r="Q99">
        <f t="shared" si="66"/>
        <v>1.407929201590347E-2</v>
      </c>
      <c r="U99">
        <v>0.12050017091344904</v>
      </c>
      <c r="V99">
        <v>29</v>
      </c>
      <c r="W99">
        <f t="shared" si="67"/>
        <v>3.3499672253598241E-2</v>
      </c>
      <c r="Y99">
        <f t="shared" si="72"/>
        <v>8.7000498659850795E-2</v>
      </c>
      <c r="AA99">
        <v>6.5559532462631798E-2</v>
      </c>
      <c r="AB99">
        <v>29</v>
      </c>
      <c r="AC99">
        <f t="shared" si="68"/>
        <v>2.0873443085474726E-2</v>
      </c>
      <c r="AE99">
        <f t="shared" si="73"/>
        <v>4.4686089377157068E-2</v>
      </c>
      <c r="AG99">
        <v>0.11287124933233532</v>
      </c>
      <c r="AH99">
        <v>29</v>
      </c>
      <c r="AI99">
        <f t="shared" si="69"/>
        <v>5.7784546636756348E-2</v>
      </c>
    </row>
    <row r="100" spans="3:35">
      <c r="C100">
        <v>5.8473360605901026E-2</v>
      </c>
      <c r="D100">
        <v>47.5</v>
      </c>
      <c r="E100">
        <f t="shared" si="64"/>
        <v>2.4040260038733784E-2</v>
      </c>
      <c r="G100">
        <f t="shared" si="70"/>
        <v>3.4433100567167238E-2</v>
      </c>
      <c r="I100">
        <v>6.5964676529758182E-2</v>
      </c>
      <c r="J100">
        <v>47.5</v>
      </c>
      <c r="K100" s="2">
        <f t="shared" si="65"/>
        <v>1.2483822353129953E-2</v>
      </c>
      <c r="M100">
        <f t="shared" si="71"/>
        <v>5.3480854176628227E-2</v>
      </c>
      <c r="O100">
        <v>6.7690364779865231E-2</v>
      </c>
      <c r="P100">
        <v>47.5</v>
      </c>
      <c r="Q100">
        <f t="shared" si="66"/>
        <v>2.2688719534571532E-2</v>
      </c>
      <c r="U100">
        <v>0.12254666540024671</v>
      </c>
      <c r="V100">
        <v>47.5</v>
      </c>
      <c r="W100">
        <f t="shared" si="67"/>
        <v>4.9429723506738348E-2</v>
      </c>
      <c r="Y100">
        <f t="shared" si="72"/>
        <v>7.3116941893508369E-2</v>
      </c>
      <c r="AA100">
        <v>8.233217046276553E-2</v>
      </c>
      <c r="AB100">
        <v>47.5</v>
      </c>
      <c r="AC100">
        <f t="shared" si="68"/>
        <v>3.3457624924965741E-2</v>
      </c>
      <c r="AE100">
        <f t="shared" si="73"/>
        <v>4.8874545537799789E-2</v>
      </c>
      <c r="AG100">
        <v>0.11712981400681312</v>
      </c>
      <c r="AH100">
        <v>47.5</v>
      </c>
      <c r="AI100">
        <f t="shared" si="69"/>
        <v>7.5156069686293681E-2</v>
      </c>
    </row>
    <row r="101" spans="3:35">
      <c r="C101">
        <v>5.8729107429037905E-2</v>
      </c>
      <c r="D101">
        <v>67</v>
      </c>
      <c r="E101">
        <f t="shared" si="64"/>
        <v>3.3524490680705232E-2</v>
      </c>
      <c r="G101">
        <f t="shared" si="70"/>
        <v>2.5204616748332673E-2</v>
      </c>
      <c r="I101">
        <v>6.7395529414379582E-2</v>
      </c>
      <c r="J101">
        <v>67</v>
      </c>
      <c r="K101" s="2">
        <f t="shared" si="65"/>
        <v>1.9487271209647879E-2</v>
      </c>
      <c r="M101">
        <f t="shared" si="71"/>
        <v>4.7908258204731699E-2</v>
      </c>
      <c r="O101">
        <v>6.7690364779865231E-2</v>
      </c>
      <c r="P101">
        <v>67</v>
      </c>
      <c r="Q101">
        <f t="shared" si="66"/>
        <v>3.1642100402571441E-2</v>
      </c>
      <c r="U101">
        <v>0.12258536027407056</v>
      </c>
      <c r="V101">
        <v>67</v>
      </c>
      <c r="W101">
        <f t="shared" si="67"/>
        <v>6.4827339199641898E-2</v>
      </c>
      <c r="Y101">
        <f t="shared" si="72"/>
        <v>5.7758021074428664E-2</v>
      </c>
      <c r="AA101">
        <v>9.4502579680082327E-2</v>
      </c>
      <c r="AB101">
        <v>67</v>
      </c>
      <c r="AC101">
        <f t="shared" si="68"/>
        <v>4.6486571412052979E-2</v>
      </c>
      <c r="AE101">
        <f t="shared" si="73"/>
        <v>4.8016008268029348E-2</v>
      </c>
      <c r="AG101">
        <v>0.12145646473539175</v>
      </c>
      <c r="AH101">
        <v>67</v>
      </c>
      <c r="AI101">
        <f t="shared" si="69"/>
        <v>9.0268740936798125E-2</v>
      </c>
    </row>
    <row r="102" spans="3:35">
      <c r="C102">
        <v>6.3421274007513601E-2</v>
      </c>
      <c r="D102">
        <v>73.5</v>
      </c>
      <c r="E102">
        <f t="shared" si="64"/>
        <v>3.6664014503194724E-2</v>
      </c>
      <c r="G102">
        <f t="shared" si="70"/>
        <v>2.6757259504318877E-2</v>
      </c>
      <c r="I102">
        <v>7.3870482672311846E-2</v>
      </c>
      <c r="J102">
        <v>73.5</v>
      </c>
      <c r="K102" s="2">
        <f t="shared" si="65"/>
        <v>2.1969192669012868E-2</v>
      </c>
      <c r="M102">
        <f t="shared" si="71"/>
        <v>5.1901290003298975E-2</v>
      </c>
      <c r="O102">
        <v>7.2776599402033765E-2</v>
      </c>
      <c r="P102">
        <v>73.5</v>
      </c>
      <c r="Q102">
        <f t="shared" si="66"/>
        <v>3.4606033511290935E-2</v>
      </c>
      <c r="U102">
        <v>0.13569808564113986</v>
      </c>
      <c r="V102">
        <v>73.5</v>
      </c>
      <c r="W102">
        <f t="shared" si="67"/>
        <v>6.9736667566114671E-2</v>
      </c>
      <c r="Y102">
        <f t="shared" si="72"/>
        <v>6.5961418075025188E-2</v>
      </c>
      <c r="AA102">
        <v>9.4502579680082327E-2</v>
      </c>
      <c r="AB102">
        <v>73.5</v>
      </c>
      <c r="AC102">
        <f t="shared" si="68"/>
        <v>5.0789876675921358E-2</v>
      </c>
      <c r="AE102">
        <f t="shared" si="73"/>
        <v>4.3712703004160969E-2</v>
      </c>
      <c r="AG102">
        <v>0.13409420484194151</v>
      </c>
      <c r="AH102">
        <v>73.5</v>
      </c>
      <c r="AI102">
        <f t="shared" si="69"/>
        <v>9.4832686713591574E-2</v>
      </c>
    </row>
    <row r="103" spans="3:35">
      <c r="C103">
        <v>6.9916293530792428E-2</v>
      </c>
      <c r="D103">
        <v>113</v>
      </c>
      <c r="E103">
        <f t="shared" si="64"/>
        <v>5.5568832058912589E-2</v>
      </c>
      <c r="G103">
        <f t="shared" si="70"/>
        <v>1.434746147187984E-2</v>
      </c>
      <c r="I103">
        <v>7.6752641481157097E-2</v>
      </c>
      <c r="J103">
        <v>113</v>
      </c>
      <c r="K103" s="2">
        <f t="shared" si="65"/>
        <v>3.8339996047700213E-2</v>
      </c>
      <c r="M103">
        <f t="shared" si="71"/>
        <v>3.8412645433456884E-2</v>
      </c>
      <c r="O103">
        <v>8.0758804376332233E-2</v>
      </c>
      <c r="P103">
        <v>113</v>
      </c>
      <c r="Q103">
        <f t="shared" si="66"/>
        <v>5.2454584761677886E-2</v>
      </c>
      <c r="U103">
        <v>0.13981546205896273</v>
      </c>
      <c r="V103">
        <v>113</v>
      </c>
      <c r="W103">
        <f t="shared" si="67"/>
        <v>9.7886916836653529E-2</v>
      </c>
      <c r="Y103">
        <f t="shared" si="72"/>
        <v>4.1928545222309196E-2</v>
      </c>
      <c r="AA103">
        <v>0.11617676028431434</v>
      </c>
      <c r="AB103">
        <v>113</v>
      </c>
      <c r="AC103">
        <f t="shared" si="68"/>
        <v>7.6626581104284691E-2</v>
      </c>
      <c r="AE103">
        <f t="shared" si="73"/>
        <v>3.9550179180029649E-2</v>
      </c>
      <c r="AG103">
        <v>0.13409420484194151</v>
      </c>
      <c r="AH103">
        <v>113</v>
      </c>
      <c r="AI103">
        <f t="shared" si="69"/>
        <v>0.11925020353244821</v>
      </c>
    </row>
    <row r="104" spans="3:35">
      <c r="C104">
        <v>8.2608439071573295E-2</v>
      </c>
      <c r="D104">
        <v>166</v>
      </c>
      <c r="E104">
        <f t="shared" si="64"/>
        <v>8.059664648031048E-2</v>
      </c>
      <c r="G104">
        <f t="shared" si="70"/>
        <v>2.0117925912628148E-3</v>
      </c>
      <c r="I104">
        <v>9.7917775461669271E-2</v>
      </c>
      <c r="J104">
        <v>166</v>
      </c>
      <c r="K104" s="2">
        <f t="shared" si="65"/>
        <v>6.3081922177236655E-2</v>
      </c>
      <c r="M104">
        <f t="shared" si="71"/>
        <v>3.4835853284432616E-2</v>
      </c>
      <c r="O104">
        <v>9.1646927773092288E-2</v>
      </c>
      <c r="P104">
        <v>166</v>
      </c>
      <c r="Q104">
        <f t="shared" si="66"/>
        <v>7.6086089049732963E-2</v>
      </c>
      <c r="U104">
        <v>0.15130300272542888</v>
      </c>
      <c r="V104">
        <v>166</v>
      </c>
      <c r="W104">
        <f t="shared" si="67"/>
        <v>0.13255876647796264</v>
      </c>
      <c r="Y104">
        <f t="shared" si="72"/>
        <v>1.8744236247466239E-2</v>
      </c>
      <c r="AA104">
        <v>0.1535142843390912</v>
      </c>
      <c r="AB104">
        <v>166</v>
      </c>
      <c r="AC104">
        <f t="shared" si="68"/>
        <v>0.11068444975881354</v>
      </c>
      <c r="AE104">
        <f t="shared" si="73"/>
        <v>4.2829834580277656E-2</v>
      </c>
      <c r="AG104">
        <v>0.15345172195517731</v>
      </c>
      <c r="AH104">
        <v>166</v>
      </c>
      <c r="AI104">
        <f t="shared" si="69"/>
        <v>0.14636375501832463</v>
      </c>
    </row>
    <row r="105" spans="3:35">
      <c r="C105">
        <v>8.2608439071573295E-2</v>
      </c>
      <c r="D105">
        <v>188</v>
      </c>
      <c r="E105">
        <f t="shared" si="64"/>
        <v>9.0901855397263517E-2</v>
      </c>
      <c r="G105">
        <f t="shared" si="70"/>
        <v>8.2934163256902227E-3</v>
      </c>
      <c r="I105">
        <v>9.7917775461669271E-2</v>
      </c>
      <c r="J105">
        <v>188</v>
      </c>
      <c r="K105" s="2">
        <f t="shared" si="65"/>
        <v>7.4111056800673134E-2</v>
      </c>
      <c r="M105">
        <f t="shared" si="71"/>
        <v>2.3806718660996137E-2</v>
      </c>
      <c r="O105">
        <v>9.1646927773092288E-2</v>
      </c>
      <c r="P105">
        <v>188</v>
      </c>
      <c r="Q105">
        <f t="shared" si="66"/>
        <v>8.5816879886520425E-2</v>
      </c>
      <c r="U105">
        <v>0.15130300272542888</v>
      </c>
      <c r="V105">
        <v>188</v>
      </c>
      <c r="W105">
        <f t="shared" si="67"/>
        <v>0.14622462619374266</v>
      </c>
      <c r="Y105">
        <f t="shared" si="72"/>
        <v>5.0783765316862184E-3</v>
      </c>
      <c r="AA105">
        <v>0.1535142843390912</v>
      </c>
      <c r="AB105">
        <v>188</v>
      </c>
      <c r="AC105">
        <f t="shared" si="68"/>
        <v>0.12467140716693882</v>
      </c>
      <c r="AE105">
        <f t="shared" si="73"/>
        <v>2.8842877172152379E-2</v>
      </c>
      <c r="AG105">
        <v>0.15345172195517731</v>
      </c>
      <c r="AH105">
        <v>188</v>
      </c>
      <c r="AI105">
        <f t="shared" si="69"/>
        <v>0.15639581000720146</v>
      </c>
    </row>
    <row r="106" spans="3:35">
      <c r="C106">
        <v>9.8012121337931649E-2</v>
      </c>
      <c r="D106">
        <v>237</v>
      </c>
      <c r="E106">
        <f t="shared" si="64"/>
        <v>0.11371676820009215</v>
      </c>
      <c r="G106">
        <f t="shared" si="70"/>
        <v>1.5704646862160498E-2</v>
      </c>
      <c r="I106">
        <v>0.11789264656835664</v>
      </c>
      <c r="J106">
        <v>237</v>
      </c>
      <c r="K106" s="2">
        <f t="shared" si="65"/>
        <v>0.10002700505583681</v>
      </c>
      <c r="M106">
        <f t="shared" si="71"/>
        <v>1.7865641512519834E-2</v>
      </c>
      <c r="O106">
        <v>0.10382329494269295</v>
      </c>
      <c r="P106">
        <v>237</v>
      </c>
      <c r="Q106">
        <f t="shared" si="66"/>
        <v>0.10736092014202274</v>
      </c>
      <c r="U106">
        <v>0.15487160345467024</v>
      </c>
      <c r="V106">
        <v>237</v>
      </c>
      <c r="W106">
        <f t="shared" si="67"/>
        <v>0.17551920445081384</v>
      </c>
      <c r="Y106">
        <f t="shared" si="72"/>
        <v>2.06476009961436E-2</v>
      </c>
      <c r="AA106">
        <v>0.15615401263686601</v>
      </c>
      <c r="AB106">
        <v>237</v>
      </c>
      <c r="AC106">
        <f t="shared" si="68"/>
        <v>0.1555777652761664</v>
      </c>
      <c r="AE106">
        <f t="shared" si="73"/>
        <v>5.7624736069961102E-4</v>
      </c>
      <c r="AG106">
        <v>0.16261767826593376</v>
      </c>
      <c r="AH106">
        <v>237</v>
      </c>
      <c r="AI106">
        <f t="shared" si="69"/>
        <v>0.17693277933923174</v>
      </c>
    </row>
    <row r="107" spans="3:35">
      <c r="C107">
        <v>0.11291824928376464</v>
      </c>
      <c r="D107">
        <v>276</v>
      </c>
      <c r="E107">
        <f t="shared" si="64"/>
        <v>0.13176172735156003</v>
      </c>
      <c r="G107">
        <f t="shared" si="70"/>
        <v>1.8843478067795391E-2</v>
      </c>
      <c r="I107">
        <v>0.13523840069172813</v>
      </c>
      <c r="J107">
        <v>276</v>
      </c>
      <c r="K107" s="2">
        <f t="shared" si="65"/>
        <v>0.1218359353425142</v>
      </c>
      <c r="M107">
        <f t="shared" si="71"/>
        <v>1.3402465349213924E-2</v>
      </c>
      <c r="O107">
        <v>0.11803811873836507</v>
      </c>
      <c r="P107">
        <v>276</v>
      </c>
      <c r="Q107">
        <f t="shared" si="66"/>
        <v>0.12440140839773323</v>
      </c>
      <c r="U107">
        <v>0.16868044686220399</v>
      </c>
      <c r="V107">
        <v>276</v>
      </c>
      <c r="W107">
        <f t="shared" si="67"/>
        <v>0.19791778795425746</v>
      </c>
      <c r="Y107">
        <f t="shared" si="72"/>
        <v>2.9237341092053476E-2</v>
      </c>
      <c r="AA107">
        <v>0.16403243657237754</v>
      </c>
      <c r="AB107">
        <v>276</v>
      </c>
      <c r="AC107">
        <f t="shared" si="68"/>
        <v>0.1799731908794272</v>
      </c>
      <c r="AE107">
        <f t="shared" si="73"/>
        <v>1.5940754307049665E-2</v>
      </c>
      <c r="AG107">
        <v>0.1805619185309198</v>
      </c>
      <c r="AH107">
        <v>276</v>
      </c>
      <c r="AI107">
        <f t="shared" si="69"/>
        <v>0.19188950456784498</v>
      </c>
    </row>
    <row r="108" spans="3:35">
      <c r="C108">
        <v>0.11686835551555701</v>
      </c>
      <c r="D108">
        <v>305</v>
      </c>
      <c r="E108">
        <f t="shared" si="64"/>
        <v>0.14512419994119338</v>
      </c>
      <c r="G108">
        <f t="shared" si="70"/>
        <v>2.8255844425636376E-2</v>
      </c>
      <c r="I108">
        <v>0.13523840069172813</v>
      </c>
      <c r="J108">
        <v>305</v>
      </c>
      <c r="K108" s="2">
        <f t="shared" si="65"/>
        <v>0.13866067322990333</v>
      </c>
      <c r="M108">
        <f t="shared" si="71"/>
        <v>3.4222725381752028E-3</v>
      </c>
      <c r="O108">
        <v>0.12719416601667866</v>
      </c>
      <c r="P108">
        <v>305</v>
      </c>
      <c r="Q108">
        <f t="shared" si="66"/>
        <v>0.13702040137492591</v>
      </c>
      <c r="U108">
        <v>0.1758394944866335</v>
      </c>
      <c r="V108">
        <v>305</v>
      </c>
      <c r="W108">
        <f t="shared" si="67"/>
        <v>0.21413787391977218</v>
      </c>
      <c r="Y108">
        <f t="shared" si="72"/>
        <v>3.8298379433138685E-2</v>
      </c>
      <c r="AA108">
        <v>0.16858572453703724</v>
      </c>
      <c r="AB108">
        <v>305</v>
      </c>
      <c r="AC108">
        <f t="shared" si="68"/>
        <v>0.19801420580724011</v>
      </c>
      <c r="AE108">
        <f t="shared" si="73"/>
        <v>2.9428481270202866E-2</v>
      </c>
      <c r="AG108">
        <v>0.1805619185309198</v>
      </c>
      <c r="AH108">
        <v>305</v>
      </c>
      <c r="AI108">
        <f t="shared" si="69"/>
        <v>0.20237873934697709</v>
      </c>
    </row>
    <row r="109" spans="3:35">
      <c r="C109">
        <v>0.12631282091875182</v>
      </c>
      <c r="D109">
        <v>376</v>
      </c>
      <c r="E109">
        <f t="shared" si="64"/>
        <v>0.17766879106854486</v>
      </c>
      <c r="G109">
        <f t="shared" si="70"/>
        <v>5.135597014979304E-2</v>
      </c>
      <c r="I109">
        <v>0.16529918864867316</v>
      </c>
      <c r="J109">
        <v>376</v>
      </c>
      <c r="K109" s="2">
        <f t="shared" si="65"/>
        <v>0.18181335182566485</v>
      </c>
      <c r="M109">
        <f t="shared" si="71"/>
        <v>1.6514163176991697E-2</v>
      </c>
      <c r="O109">
        <v>0.15265111804708228</v>
      </c>
      <c r="P109">
        <v>376</v>
      </c>
      <c r="Q109">
        <f t="shared" si="66"/>
        <v>0.16775527695168505</v>
      </c>
      <c r="U109">
        <v>0.20134821443708165</v>
      </c>
      <c r="V109">
        <v>376</v>
      </c>
      <c r="W109">
        <f t="shared" si="67"/>
        <v>0.2525505402508168</v>
      </c>
      <c r="Y109">
        <f t="shared" si="72"/>
        <v>5.1202325813735156E-2</v>
      </c>
      <c r="AA109">
        <v>0.18248204571310611</v>
      </c>
      <c r="AB109">
        <v>376</v>
      </c>
      <c r="AC109">
        <f t="shared" si="68"/>
        <v>0.2418799534055126</v>
      </c>
      <c r="AE109">
        <f t="shared" si="73"/>
        <v>5.9397907692406493E-2</v>
      </c>
      <c r="AG109">
        <v>0.20897213293218778</v>
      </c>
      <c r="AH109">
        <v>376</v>
      </c>
      <c r="AI109">
        <f t="shared" si="69"/>
        <v>0.2262453633001863</v>
      </c>
    </row>
    <row r="110" spans="3:35">
      <c r="C110">
        <v>0.16210237402559532</v>
      </c>
      <c r="D110">
        <v>408.5</v>
      </c>
      <c r="E110">
        <f t="shared" si="64"/>
        <v>0.19249539041308228</v>
      </c>
      <c r="G110">
        <f t="shared" si="70"/>
        <v>3.0393016387486954E-2</v>
      </c>
      <c r="I110">
        <v>0.2024138939667155</v>
      </c>
      <c r="J110">
        <v>408.5</v>
      </c>
      <c r="K110" s="2">
        <f t="shared" si="65"/>
        <v>0.20241390332103901</v>
      </c>
      <c r="M110">
        <f t="shared" si="71"/>
        <v>9.3543235102355737E-9</v>
      </c>
      <c r="O110">
        <v>0.18134555216399384</v>
      </c>
      <c r="P110">
        <v>408.5</v>
      </c>
      <c r="Q110">
        <f t="shared" si="66"/>
        <v>0.18175784290430741</v>
      </c>
      <c r="U110">
        <v>0.21463881106587526</v>
      </c>
      <c r="V110">
        <v>408.5</v>
      </c>
      <c r="W110">
        <f t="shared" si="67"/>
        <v>0.26960845981893139</v>
      </c>
      <c r="Y110">
        <f t="shared" si="72"/>
        <v>5.4969648753056127E-2</v>
      </c>
      <c r="AA110">
        <v>0.21128171091233386</v>
      </c>
      <c r="AB110">
        <v>408.5</v>
      </c>
      <c r="AC110">
        <f t="shared" si="68"/>
        <v>0.26183378765608339</v>
      </c>
      <c r="AE110">
        <f t="shared" si="73"/>
        <v>5.0552076743749536E-2</v>
      </c>
      <c r="AG110">
        <v>0.23646024608320795</v>
      </c>
      <c r="AH110">
        <v>408.5</v>
      </c>
      <c r="AI110">
        <f t="shared" si="69"/>
        <v>0.23646052111459895</v>
      </c>
    </row>
    <row r="111" spans="3:35">
      <c r="C111">
        <v>0.17820560176898126</v>
      </c>
      <c r="D111">
        <v>452</v>
      </c>
      <c r="E111">
        <f t="shared" si="64"/>
        <v>0.21227950585181099</v>
      </c>
      <c r="G111">
        <f t="shared" si="70"/>
        <v>3.4073904082829731E-2</v>
      </c>
      <c r="I111">
        <v>0.2024138939667155</v>
      </c>
      <c r="J111">
        <v>452</v>
      </c>
      <c r="K111" s="2">
        <f t="shared" si="65"/>
        <v>0.23074781538558056</v>
      </c>
      <c r="M111">
        <f t="shared" si="71"/>
        <v>2.8333921418865066E-2</v>
      </c>
      <c r="O111">
        <v>0.18134555216399384</v>
      </c>
      <c r="P111">
        <v>452</v>
      </c>
      <c r="Q111">
        <f t="shared" si="66"/>
        <v>0.20044276876254102</v>
      </c>
      <c r="U111">
        <v>0.2261347447008675</v>
      </c>
      <c r="V111">
        <v>452</v>
      </c>
      <c r="W111">
        <f t="shared" si="67"/>
        <v>0.29199822657235069</v>
      </c>
      <c r="Y111">
        <f t="shared" si="72"/>
        <v>6.5863481871483193E-2</v>
      </c>
      <c r="AA111">
        <v>0.21490209172322186</v>
      </c>
      <c r="AB111">
        <v>452</v>
      </c>
      <c r="AC111">
        <f t="shared" si="68"/>
        <v>0.28843335297554484</v>
      </c>
      <c r="AE111">
        <f t="shared" si="73"/>
        <v>7.3531261252322982E-2</v>
      </c>
      <c r="AG111">
        <v>0.23646024608320795</v>
      </c>
      <c r="AH111">
        <v>452</v>
      </c>
      <c r="AI111">
        <f t="shared" si="69"/>
        <v>0.24955614971813458</v>
      </c>
    </row>
    <row r="112" spans="3:35">
      <c r="C112">
        <v>0.2103516485771873</v>
      </c>
      <c r="D112">
        <v>500</v>
      </c>
      <c r="E112">
        <f t="shared" si="64"/>
        <v>0.2340371538394948</v>
      </c>
      <c r="G112">
        <f t="shared" si="70"/>
        <v>2.3685505262307505E-2</v>
      </c>
      <c r="I112">
        <v>0.2024138939667155</v>
      </c>
      <c r="J112">
        <v>500</v>
      </c>
      <c r="K112" s="2">
        <f t="shared" si="65"/>
        <v>0.26295789784154888</v>
      </c>
      <c r="M112">
        <f t="shared" si="71"/>
        <v>6.0544003874833385E-2</v>
      </c>
      <c r="O112">
        <v>0.18134555216399384</v>
      </c>
      <c r="P112">
        <v>500</v>
      </c>
      <c r="Q112">
        <f t="shared" si="66"/>
        <v>0.22099202815109195</v>
      </c>
      <c r="U112">
        <v>0.27771328706789805</v>
      </c>
      <c r="V112">
        <v>500</v>
      </c>
      <c r="W112">
        <f t="shared" si="67"/>
        <v>0.31618146106739276</v>
      </c>
      <c r="Y112">
        <f t="shared" si="72"/>
        <v>3.8468173999494704E-2</v>
      </c>
      <c r="AA112">
        <v>0.25928656801055033</v>
      </c>
      <c r="AB112">
        <v>500</v>
      </c>
      <c r="AC112">
        <f t="shared" si="68"/>
        <v>0.31765485502019714</v>
      </c>
      <c r="AE112">
        <f t="shared" si="73"/>
        <v>5.8368287009646802E-2</v>
      </c>
      <c r="AG112">
        <v>0.25674932391857569</v>
      </c>
      <c r="AH112">
        <v>500</v>
      </c>
      <c r="AI112">
        <f t="shared" si="69"/>
        <v>0.26333995430929735</v>
      </c>
    </row>
    <row r="113" spans="3:35">
      <c r="C113">
        <v>0.25572557790168948</v>
      </c>
      <c r="D113">
        <v>548</v>
      </c>
      <c r="E113">
        <f t="shared" si="64"/>
        <v>0.25572547590957406</v>
      </c>
      <c r="G113">
        <f t="shared" si="70"/>
        <v>1.0199211541994657E-7</v>
      </c>
      <c r="I113">
        <v>0.27274073251076691</v>
      </c>
      <c r="J113">
        <v>548</v>
      </c>
      <c r="K113" s="2">
        <f t="shared" si="65"/>
        <v>0.29609347848162987</v>
      </c>
      <c r="M113">
        <f t="shared" si="71"/>
        <v>2.3352745970862954E-2</v>
      </c>
      <c r="O113">
        <v>0.24147622988445944</v>
      </c>
      <c r="P113">
        <v>548</v>
      </c>
      <c r="Q113">
        <f t="shared" si="66"/>
        <v>0.24147623762979933</v>
      </c>
      <c r="U113">
        <v>0.33987781847969023</v>
      </c>
      <c r="V113">
        <v>548</v>
      </c>
      <c r="W113">
        <f t="shared" si="67"/>
        <v>0.33987754972938489</v>
      </c>
      <c r="Y113">
        <f t="shared" si="72"/>
        <v>2.6875030534334599E-7</v>
      </c>
      <c r="AA113">
        <v>0.319858323885022</v>
      </c>
      <c r="AB113">
        <v>548</v>
      </c>
      <c r="AC113">
        <f t="shared" si="68"/>
        <v>0.34675344137838932</v>
      </c>
      <c r="AE113">
        <f t="shared" si="73"/>
        <v>2.6895117493367315E-2</v>
      </c>
      <c r="AG113">
        <v>0.3171846153057396</v>
      </c>
      <c r="AH113">
        <v>548</v>
      </c>
      <c r="AI113">
        <f t="shared" si="69"/>
        <v>0.27651792878364245</v>
      </c>
    </row>
    <row r="114" spans="3:35">
      <c r="C114">
        <v>0.42070329715437438</v>
      </c>
      <c r="D114">
        <v>620</v>
      </c>
      <c r="E114">
        <f t="shared" si="64"/>
        <v>0.28814142521767161</v>
      </c>
      <c r="G114">
        <f t="shared" si="70"/>
        <v>0.13256187193670277</v>
      </c>
      <c r="I114">
        <v>0.42896388410109532</v>
      </c>
      <c r="J114">
        <v>620</v>
      </c>
      <c r="K114" s="2">
        <f t="shared" si="65"/>
        <v>0.34740737729228793</v>
      </c>
      <c r="M114">
        <f t="shared" si="71"/>
        <v>8.1556506808807383E-2</v>
      </c>
      <c r="O114">
        <v>0.3680601781448008</v>
      </c>
      <c r="P114">
        <v>620</v>
      </c>
      <c r="Q114">
        <f t="shared" si="66"/>
        <v>0.27209320333624015</v>
      </c>
      <c r="U114">
        <v>0.40506892920614174</v>
      </c>
      <c r="V114">
        <v>620</v>
      </c>
      <c r="W114">
        <f t="shared" si="67"/>
        <v>0.37461808071238573</v>
      </c>
      <c r="Y114">
        <f t="shared" si="72"/>
        <v>3.0450848493756011E-2</v>
      </c>
      <c r="AA114">
        <v>0.39019538977924673</v>
      </c>
      <c r="AB114">
        <v>620</v>
      </c>
      <c r="AC114">
        <f t="shared" si="68"/>
        <v>0.39019493711941977</v>
      </c>
      <c r="AE114">
        <f t="shared" si="73"/>
        <v>4.5265982695497087E-7</v>
      </c>
      <c r="AG114">
        <v>0.37215352055491657</v>
      </c>
      <c r="AH114">
        <v>620</v>
      </c>
      <c r="AI114">
        <f t="shared" si="69"/>
        <v>0.29531208075804721</v>
      </c>
    </row>
    <row r="115" spans="3:35">
      <c r="C115">
        <v>0.49771003549067444</v>
      </c>
      <c r="D115">
        <v>716</v>
      </c>
      <c r="E115">
        <f t="shared" si="64"/>
        <v>0.33117066830278541</v>
      </c>
      <c r="G115">
        <f t="shared" si="70"/>
        <v>0.16653936718788903</v>
      </c>
      <c r="I115">
        <v>0.50121311436177807</v>
      </c>
      <c r="J115">
        <v>716</v>
      </c>
      <c r="K115" s="2">
        <f t="shared" si="65"/>
        <v>0.41858652792771084</v>
      </c>
      <c r="M115">
        <f t="shared" si="71"/>
        <v>8.2626586434067228E-2</v>
      </c>
      <c r="O115">
        <v>0.45051392147100477</v>
      </c>
      <c r="P115">
        <v>716</v>
      </c>
      <c r="Q115">
        <f t="shared" si="66"/>
        <v>0.31273563674490412</v>
      </c>
      <c r="U115">
        <v>0.48654022122284185</v>
      </c>
      <c r="V115">
        <v>716</v>
      </c>
      <c r="W115">
        <f t="shared" si="67"/>
        <v>0.41964269472007859</v>
      </c>
      <c r="Y115">
        <f t="shared" si="72"/>
        <v>6.689752650276326E-2</v>
      </c>
      <c r="AA115">
        <v>0.45780556628065516</v>
      </c>
      <c r="AB115">
        <v>716</v>
      </c>
      <c r="AC115">
        <f t="shared" si="68"/>
        <v>0.44777729017035023</v>
      </c>
      <c r="AE115">
        <f t="shared" si="73"/>
        <v>1.0028276110304934E-2</v>
      </c>
      <c r="AG115">
        <v>0.45232286245724368</v>
      </c>
      <c r="AH115">
        <v>716</v>
      </c>
      <c r="AI115">
        <f t="shared" si="69"/>
        <v>0.31884930528215594</v>
      </c>
    </row>
    <row r="116" spans="3:35">
      <c r="C116">
        <v>0.60475572244064868</v>
      </c>
      <c r="D116">
        <v>788</v>
      </c>
      <c r="E116">
        <f t="shared" si="64"/>
        <v>0.36331544523849846</v>
      </c>
      <c r="G116">
        <f t="shared" si="70"/>
        <v>0.24144027720215022</v>
      </c>
      <c r="M116">
        <f>SUM(M93:M115)</f>
        <v>0.84392758282937841</v>
      </c>
      <c r="O116">
        <v>0.552078747577189</v>
      </c>
      <c r="P116">
        <v>788</v>
      </c>
      <c r="Q116">
        <f t="shared" si="66"/>
        <v>0.3430981404023612</v>
      </c>
      <c r="U116">
        <v>0.59277843408479147</v>
      </c>
      <c r="V116">
        <v>788</v>
      </c>
      <c r="W116">
        <f t="shared" si="67"/>
        <v>0.45257120719543104</v>
      </c>
      <c r="Y116">
        <f t="shared" si="72"/>
        <v>0.14020722688936044</v>
      </c>
      <c r="AA116">
        <v>0.56324816019752377</v>
      </c>
      <c r="AB116">
        <v>788</v>
      </c>
      <c r="AC116">
        <f t="shared" si="68"/>
        <v>0.4907394372659441</v>
      </c>
      <c r="AE116">
        <f t="shared" si="73"/>
        <v>7.2508722931579672E-2</v>
      </c>
      <c r="AG116">
        <v>0.55289201311949698</v>
      </c>
      <c r="AH116">
        <v>788</v>
      </c>
      <c r="AI116">
        <f t="shared" si="69"/>
        <v>0.33554614732456789</v>
      </c>
    </row>
    <row r="117" spans="3:35">
      <c r="G117">
        <f>SUM(G93:G116)</f>
        <v>1.0822070527595393</v>
      </c>
      <c r="Y117">
        <f>SUM(Y93:Y116)</f>
        <v>1.3095357772162002</v>
      </c>
      <c r="AE117">
        <f>SUM(AE93:AE116)</f>
        <v>0.87417016553853433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workbookViewId="0">
      <pane xSplit="1" topLeftCell="I1" activePane="topRight" state="frozen"/>
      <selection pane="topRight" activeCell="S1" sqref="S1:S1048576"/>
    </sheetView>
  </sheetViews>
  <sheetFormatPr defaultRowHeight="15"/>
  <cols>
    <col min="5" max="6" width="18.42578125" customWidth="1"/>
    <col min="7" max="7" width="11" bestFit="1" customWidth="1"/>
    <col min="11" max="12" width="18.42578125" customWidth="1"/>
    <col min="13" max="13" width="12" bestFit="1" customWidth="1"/>
    <col min="17" max="17" width="18.140625" customWidth="1"/>
    <col min="18" max="18" width="18.42578125" customWidth="1"/>
    <col min="19" max="19" width="12" style="3" bestFit="1" customWidth="1"/>
    <col min="23" max="23" width="18.140625" customWidth="1"/>
    <col min="24" max="24" width="18.42578125" customWidth="1"/>
    <col min="25" max="25" width="11" bestFit="1" customWidth="1"/>
    <col min="29" max="30" width="18.42578125" customWidth="1"/>
    <col min="35" max="35" width="18.42578125" customWidth="1"/>
    <col min="36" max="36" width="18.140625" customWidth="1"/>
    <col min="37" max="37" width="12" style="3" bestFit="1" customWidth="1"/>
  </cols>
  <sheetData>
    <row r="1" spans="1:39">
      <c r="A1" t="s">
        <v>0</v>
      </c>
      <c r="B1" t="s">
        <v>1</v>
      </c>
      <c r="C1" t="s">
        <v>3</v>
      </c>
      <c r="D1" t="s">
        <v>4</v>
      </c>
      <c r="E1" t="s">
        <v>17</v>
      </c>
      <c r="F1" t="s">
        <v>18</v>
      </c>
      <c r="H1" t="s">
        <v>2</v>
      </c>
      <c r="I1" t="s">
        <v>3</v>
      </c>
      <c r="J1" t="s">
        <v>4</v>
      </c>
      <c r="K1" t="s">
        <v>19</v>
      </c>
      <c r="L1" t="s">
        <v>22</v>
      </c>
      <c r="N1" t="s">
        <v>5</v>
      </c>
      <c r="O1" t="s">
        <v>3</v>
      </c>
      <c r="P1" t="s">
        <v>4</v>
      </c>
      <c r="Q1" t="s">
        <v>17</v>
      </c>
      <c r="R1" t="s">
        <v>16</v>
      </c>
      <c r="S1" s="3" t="s">
        <v>59</v>
      </c>
      <c r="T1" t="s">
        <v>6</v>
      </c>
      <c r="U1" t="s">
        <v>3</v>
      </c>
      <c r="V1" t="s">
        <v>4</v>
      </c>
      <c r="W1" t="s">
        <v>19</v>
      </c>
      <c r="X1" t="s">
        <v>21</v>
      </c>
      <c r="Z1" t="s">
        <v>7</v>
      </c>
      <c r="AA1" t="s">
        <v>3</v>
      </c>
      <c r="AB1" t="s">
        <v>4</v>
      </c>
      <c r="AC1" t="s">
        <v>19</v>
      </c>
      <c r="AD1" t="s">
        <v>21</v>
      </c>
      <c r="AF1" t="s">
        <v>8</v>
      </c>
      <c r="AG1" t="s">
        <v>3</v>
      </c>
      <c r="AH1" t="s">
        <v>4</v>
      </c>
      <c r="AI1" t="s">
        <v>19</v>
      </c>
      <c r="AJ1" t="s">
        <v>21</v>
      </c>
      <c r="AK1" s="3" t="s">
        <v>60</v>
      </c>
    </row>
    <row r="2" spans="1:39">
      <c r="B2">
        <f>1.8/10</f>
        <v>0.18</v>
      </c>
      <c r="H2">
        <v>0.18</v>
      </c>
      <c r="N2">
        <v>0.17</v>
      </c>
      <c r="T2">
        <v>0.21</v>
      </c>
      <c r="Z2">
        <v>0.14000000000000001</v>
      </c>
      <c r="AF2">
        <v>0.18</v>
      </c>
    </row>
    <row r="3" spans="1:39">
      <c r="A3">
        <v>0.5</v>
      </c>
      <c r="B3">
        <v>3.95E-2</v>
      </c>
      <c r="C3">
        <f>(B3+0.001)/193.4</f>
        <v>2.094105480868666E-4</v>
      </c>
      <c r="D3">
        <f>C3*0.6/0.2</f>
        <v>6.2823164426059966E-4</v>
      </c>
      <c r="E3">
        <f>D3</f>
        <v>6.2823164426059966E-4</v>
      </c>
      <c r="F3">
        <f>E3/0.250977034</f>
        <v>2.5031439500579947E-3</v>
      </c>
      <c r="H3">
        <f>(0.043+0.0429)/2</f>
        <v>4.2950000000000002E-2</v>
      </c>
      <c r="I3">
        <f>(H3+0.001)/193.4</f>
        <v>2.2724922440537745E-4</v>
      </c>
      <c r="J3">
        <f>I3*0.6/0.2</f>
        <v>6.8174767321613227E-4</v>
      </c>
      <c r="K3">
        <f>J3</f>
        <v>6.8174767321613227E-4</v>
      </c>
      <c r="L3">
        <f>K3/0.18</f>
        <v>3.7874870734229574E-3</v>
      </c>
      <c r="N3">
        <f>(0.0322+0.0321)/2</f>
        <v>3.2149999999999998E-2</v>
      </c>
      <c r="O3">
        <f>(N3+0.001)/193.4</f>
        <v>1.7140641158221303E-4</v>
      </c>
      <c r="P3">
        <f>O3*0.6/0.2</f>
        <v>5.1421923474663902E-4</v>
      </c>
      <c r="Q3">
        <f>P3</f>
        <v>5.1421923474663902E-4</v>
      </c>
      <c r="R3">
        <f>Q3/0.173764386</f>
        <v>2.9592901433015107E-3</v>
      </c>
      <c r="S3" s="3">
        <f>AVERAGE(F3,L3,R3)</f>
        <v>3.0833070555941543E-3</v>
      </c>
      <c r="T3">
        <f>(0.0547+0.055)/2</f>
        <v>5.4849999999999996E-2</v>
      </c>
      <c r="U3">
        <f>(T3+0.001)/193.4</f>
        <v>2.8877973112719749E-4</v>
      </c>
      <c r="V3">
        <f>U3*0.6/0.2</f>
        <v>8.6633919338159236E-4</v>
      </c>
      <c r="W3">
        <f>V3</f>
        <v>8.6633919338159236E-4</v>
      </c>
      <c r="X3">
        <f>W3/0.21</f>
        <v>4.1254247303885352E-3</v>
      </c>
      <c r="Z3">
        <f>(0.028+0.0281)/2</f>
        <v>2.8049999999999999E-2</v>
      </c>
      <c r="AA3">
        <f>(Z3+0.001)/193.4</f>
        <v>1.5020682523267837E-4</v>
      </c>
      <c r="AB3">
        <f>AA3*0.6/0.2</f>
        <v>4.5062047569803505E-4</v>
      </c>
      <c r="AC3">
        <f>AB3</f>
        <v>4.5062047569803505E-4</v>
      </c>
      <c r="AD3">
        <f>AC3/0.14</f>
        <v>3.2187176835573928E-3</v>
      </c>
      <c r="AF3">
        <f>(0.0345+0.0346)/2</f>
        <v>3.4549999999999997E-2</v>
      </c>
      <c r="AG3">
        <f>(AF3+0.001)/193.4</f>
        <v>1.8381592554291622E-4</v>
      </c>
      <c r="AH3">
        <f>AG3*0.6/0.2</f>
        <v>5.5144777662874856E-4</v>
      </c>
      <c r="AI3">
        <f>AH3</f>
        <v>5.5144777662874856E-4</v>
      </c>
      <c r="AJ3">
        <f>AI3/0.18</f>
        <v>3.0635987590486033E-3</v>
      </c>
      <c r="AK3" s="3">
        <f>AVERAGE(X3,AD3,AJ3)</f>
        <v>3.4692470576648433E-3</v>
      </c>
      <c r="AL3">
        <v>1</v>
      </c>
      <c r="AM3">
        <f>0.8^AL3</f>
        <v>0.8</v>
      </c>
    </row>
    <row r="4" spans="1:39">
      <c r="A4">
        <v>1</v>
      </c>
      <c r="B4">
        <v>5.0999999999999997E-2</v>
      </c>
      <c r="C4">
        <f t="shared" ref="C4:C13" si="0">(B4+0.001)/193.4</f>
        <v>2.6887280248190278E-4</v>
      </c>
      <c r="D4">
        <f t="shared" ref="D4:D14" si="1">C4*0.6/0.2</f>
        <v>8.066184074457083E-4</v>
      </c>
      <c r="E4">
        <f>IF(D4-D3&gt;0,E3+(D4-D3*0.8)/AM3,D4/AM3)</f>
        <v>1.0082730093071354E-3</v>
      </c>
      <c r="F4">
        <f>IF(E4/0.250977034&gt;F3,E4/0.250977034,F3)</f>
        <v>4.0173915247844368E-3</v>
      </c>
      <c r="H4">
        <f>(0.0486)</f>
        <v>4.8599999999999997E-2</v>
      </c>
      <c r="I4">
        <f t="shared" ref="I4:I14" si="2">(H4+0.001)/193.4</f>
        <v>2.5646328852119957E-4</v>
      </c>
      <c r="J4">
        <f t="shared" ref="J4:J14" si="3">I4*0.6/0.2</f>
        <v>7.6938986556359865E-4</v>
      </c>
      <c r="K4">
        <f t="shared" ref="K4:K29" si="4">IF(J4-J3&gt;0,K3+(J4-J3*0.8)/AM3,J4/AM3)</f>
        <v>9.6173733195449823E-4</v>
      </c>
      <c r="L4">
        <f>IF(K4/0.18&gt;L3,K4/0.18,L3)</f>
        <v>5.3429851775249901E-3</v>
      </c>
      <c r="N4">
        <v>4.5100000000000001E-2</v>
      </c>
      <c r="O4">
        <f t="shared" ref="O4:O14" si="5">(N4+0.001)/193.4</f>
        <v>2.3836608066184076E-4</v>
      </c>
      <c r="P4">
        <f t="shared" ref="P4:P14" si="6">O4*0.6/0.2</f>
        <v>7.1509824198552228E-4</v>
      </c>
      <c r="Q4">
        <f t="shared" ref="Q4:Q29" si="7">IF(P4-P3&gt;0,Q3+(P4-P3*0.8)/AM3,P4/AM3)</f>
        <v>8.9387280248190274E-4</v>
      </c>
      <c r="R4">
        <f>IF(Q4/0.173764386&gt;R3,Q4/0.173764386,R3)</f>
        <v>5.144165746840108E-3</v>
      </c>
      <c r="S4" s="3">
        <f t="shared" ref="S4:S29" si="8">AVERAGE(F4,L4,R4)</f>
        <v>4.8348474830498447E-3</v>
      </c>
      <c r="T4">
        <f>0.0399</f>
        <v>3.9899999999999998E-2</v>
      </c>
      <c r="U4">
        <f t="shared" ref="U4:U14" si="9">(T4+0.001)/193.4</f>
        <v>2.1147880041365045E-4</v>
      </c>
      <c r="V4">
        <f t="shared" ref="V4:V14" si="10">U4*0.6/0.2</f>
        <v>6.3443640124095132E-4</v>
      </c>
      <c r="W4">
        <f t="shared" ref="W4:W29" si="11">IF(V4-V3&gt;0,W3+(V4-V3*0.8)/AM3,V4/AM3)</f>
        <v>7.9304550155118907E-4</v>
      </c>
      <c r="X4">
        <f>IF(W4/0.21&gt;X3,W4/0.21,X3)</f>
        <v>4.1254247303885352E-3</v>
      </c>
      <c r="Z4">
        <v>3.0499999999999999E-2</v>
      </c>
      <c r="AA4">
        <f t="shared" ref="AA4:AA14" si="12">(Z4+0.001)/193.4</f>
        <v>1.6287487073422956E-4</v>
      </c>
      <c r="AB4">
        <f t="shared" ref="AB4:AB14" si="13">AA4*0.6/0.2</f>
        <v>4.8862461220268861E-4</v>
      </c>
      <c r="AC4">
        <f t="shared" ref="AC4:AC23" si="14">IF(AB4-AB3&gt;0,AC3+(AB4-AB3*0.8)/AM3,AB4/AM3)</f>
        <v>6.1078076525336068E-4</v>
      </c>
      <c r="AD4">
        <f>IF(AC4/0.14&gt;AD3,AC4/0.14,AD3)</f>
        <v>4.3627197518097188E-3</v>
      </c>
      <c r="AF4">
        <v>3.44E-2</v>
      </c>
      <c r="AG4">
        <f t="shared" ref="AG4:AG14" si="15">(AF4+0.001)/193.4</f>
        <v>1.8304033092037228E-4</v>
      </c>
      <c r="AH4">
        <f t="shared" ref="AH4:AH14" si="16">AG4*0.6/0.2</f>
        <v>5.4912099276111675E-4</v>
      </c>
      <c r="AI4">
        <f>IF(AH4-AH3&gt;0,AI3+(AH4-AH3*0.8)/AM3,AH4/AM3)</f>
        <v>6.8640124095139588E-4</v>
      </c>
      <c r="AJ4">
        <f>IF(AI4/0.18&gt;AJ3,AI4/0.18,AJ3)</f>
        <v>3.813340227507755E-3</v>
      </c>
      <c r="AK4" s="3">
        <f t="shared" ref="AK4:AK29" si="17">AVERAGE(X4,AD4,AJ4)</f>
        <v>4.100494903235336E-3</v>
      </c>
      <c r="AL4">
        <v>2</v>
      </c>
      <c r="AM4">
        <f t="shared" ref="AM4:AM29" si="18">0.8^AL4</f>
        <v>0.64000000000000012</v>
      </c>
    </row>
    <row r="5" spans="1:39">
      <c r="A5">
        <v>2</v>
      </c>
      <c r="B5">
        <v>7.0900000000000005E-2</v>
      </c>
      <c r="C5">
        <f t="shared" si="0"/>
        <v>3.717683557394002E-4</v>
      </c>
      <c r="D5">
        <f t="shared" si="1"/>
        <v>1.1153050672182004E-3</v>
      </c>
      <c r="E5">
        <f t="shared" ref="E5:E25" si="19">IF(D5-D4&gt;0,E4+(D5-D4*0.8)/AM4,D5/AM4)</f>
        <v>1.7426641675284378E-3</v>
      </c>
      <c r="F5">
        <f t="shared" ref="F5:F29" si="20">IF(E5/0.250977034&gt;F4,E5/0.250977034,F4)</f>
        <v>6.9435204478846373E-3</v>
      </c>
      <c r="H5">
        <f>0.0802</f>
        <v>8.0199999999999994E-2</v>
      </c>
      <c r="I5">
        <f t="shared" si="2"/>
        <v>4.1985522233712507E-4</v>
      </c>
      <c r="J5">
        <f t="shared" si="3"/>
        <v>1.2595656670113752E-3</v>
      </c>
      <c r="K5">
        <f t="shared" si="4"/>
        <v>1.9680713547052735E-3</v>
      </c>
      <c r="L5">
        <f t="shared" ref="L5:L29" si="21">IF(K5/0.18&gt;L4,K5/0.18,L4)</f>
        <v>1.093372974836263E-2</v>
      </c>
      <c r="N5">
        <v>8.1699999999999995E-2</v>
      </c>
      <c r="O5">
        <f t="shared" si="5"/>
        <v>4.2761116856256462E-4</v>
      </c>
      <c r="P5">
        <f t="shared" si="6"/>
        <v>1.2828335056876937E-3</v>
      </c>
      <c r="Q5">
        <f t="shared" si="7"/>
        <v>2.0044273526370207E-3</v>
      </c>
      <c r="R5">
        <f t="shared" ref="R5:R29" si="22">IF(Q5/0.173764386&gt;R4,Q5/0.173764386,R4)</f>
        <v>1.1535317442073664E-2</v>
      </c>
      <c r="S5" s="3">
        <f t="shared" si="8"/>
        <v>9.8041892127736438E-3</v>
      </c>
      <c r="T5">
        <v>7.7100000000000002E-2</v>
      </c>
      <c r="U5">
        <f t="shared" si="9"/>
        <v>4.0382626680455017E-4</v>
      </c>
      <c r="V5">
        <f t="shared" si="10"/>
        <v>1.2114788004136503E-3</v>
      </c>
      <c r="W5">
        <f t="shared" si="11"/>
        <v>1.8929356256463283E-3</v>
      </c>
      <c r="X5">
        <f t="shared" ref="X5:X29" si="23">IF(W5/0.21&gt;X4,W5/0.21,X4)</f>
        <v>9.01397916974442E-3</v>
      </c>
      <c r="Z5">
        <v>3.4299999999999997E-2</v>
      </c>
      <c r="AA5">
        <f t="shared" si="12"/>
        <v>1.8252326783867631E-4</v>
      </c>
      <c r="AB5">
        <f t="shared" si="13"/>
        <v>5.4756980351602892E-4</v>
      </c>
      <c r="AC5">
        <f t="shared" si="14"/>
        <v>8.5557781799379504E-4</v>
      </c>
      <c r="AD5">
        <f t="shared" ref="AD5:AD29" si="24">IF(AC5/0.14&gt;AD4,AC5/0.14,AD4)</f>
        <v>6.1112701285271067E-3</v>
      </c>
      <c r="AF5">
        <v>7.2300000000000003E-2</v>
      </c>
      <c r="AG5">
        <f t="shared" si="15"/>
        <v>3.7900723888314373E-4</v>
      </c>
      <c r="AH5">
        <f t="shared" si="16"/>
        <v>1.137021716649431E-3</v>
      </c>
      <c r="AI5">
        <f t="shared" ref="AI5:AI29" si="25">IF(AH5-AH4&gt;0,AI4+(AH5-AH4*0.8)/AM4,AH5/AM4)</f>
        <v>1.7765964322647358E-3</v>
      </c>
      <c r="AJ5">
        <f t="shared" ref="AJ5:AJ29" si="26">IF(AI5/0.18&gt;AJ4,AI5/0.18,AJ4)</f>
        <v>9.8699801792485331E-3</v>
      </c>
      <c r="AK5" s="3">
        <f t="shared" si="17"/>
        <v>8.3317431591733524E-3</v>
      </c>
      <c r="AL5">
        <v>3</v>
      </c>
      <c r="AM5">
        <f t="shared" si="18"/>
        <v>0.51200000000000012</v>
      </c>
    </row>
    <row r="6" spans="1:39">
      <c r="A6">
        <v>3</v>
      </c>
      <c r="B6">
        <f>(0.1098+0.1097)/2</f>
        <v>0.10975</v>
      </c>
      <c r="C6">
        <f t="shared" si="0"/>
        <v>5.726473629782833E-4</v>
      </c>
      <c r="D6">
        <f t="shared" si="1"/>
        <v>1.7179420889348498E-3</v>
      </c>
      <c r="E6">
        <f t="shared" si="19"/>
        <v>3.3553556424508781E-3</v>
      </c>
      <c r="F6">
        <f t="shared" si="20"/>
        <v>1.3369174019527533E-2</v>
      </c>
      <c r="H6">
        <f>(0.1427+0.1428)/2</f>
        <v>0.14274999999999999</v>
      </c>
      <c r="I6">
        <f t="shared" si="2"/>
        <v>7.4327817993795234E-4</v>
      </c>
      <c r="J6">
        <f t="shared" si="3"/>
        <v>2.2298345398138568E-3</v>
      </c>
      <c r="K6">
        <f t="shared" si="4"/>
        <v>4.3551455855739378E-3</v>
      </c>
      <c r="L6">
        <f t="shared" si="21"/>
        <v>2.4195253253188543E-2</v>
      </c>
      <c r="N6">
        <f>(0.1055+0.1056)/2</f>
        <v>0.10555</v>
      </c>
      <c r="O6">
        <f t="shared" si="5"/>
        <v>5.5093071354705276E-4</v>
      </c>
      <c r="P6">
        <f t="shared" si="6"/>
        <v>1.6527921406411582E-3</v>
      </c>
      <c r="Q6">
        <f t="shared" si="7"/>
        <v>3.228109649689761E-3</v>
      </c>
      <c r="R6">
        <f t="shared" si="22"/>
        <v>1.8577510179155821E-2</v>
      </c>
      <c r="S6" s="3">
        <f t="shared" si="8"/>
        <v>1.8713979150623967E-2</v>
      </c>
      <c r="T6">
        <f>(0.0965+0.0974)/2</f>
        <v>9.6950000000000008E-2</v>
      </c>
      <c r="U6">
        <f t="shared" si="9"/>
        <v>5.0646328852119963E-4</v>
      </c>
      <c r="V6">
        <f t="shared" si="10"/>
        <v>1.5193898655635988E-3</v>
      </c>
      <c r="W6">
        <f t="shared" si="11"/>
        <v>2.9675583311789032E-3</v>
      </c>
      <c r="X6">
        <f t="shared" si="23"/>
        <v>1.4131230148470968E-2</v>
      </c>
      <c r="Z6">
        <f>(0.698+0.696)/2</f>
        <v>0.69699999999999995</v>
      </c>
      <c r="AA6">
        <f t="shared" si="12"/>
        <v>3.6091003102378485E-3</v>
      </c>
      <c r="AB6">
        <f t="shared" si="13"/>
        <v>1.0827300930713544E-2</v>
      </c>
      <c r="AC6">
        <f t="shared" si="14"/>
        <v>2.1147072130299885E-2</v>
      </c>
      <c r="AD6">
        <f t="shared" si="24"/>
        <v>0.15105051521642773</v>
      </c>
      <c r="AF6">
        <f>(0.086+0.0861)/2</f>
        <v>8.6049999999999988E-2</v>
      </c>
      <c r="AG6">
        <f t="shared" si="15"/>
        <v>4.5010341261633914E-4</v>
      </c>
      <c r="AH6">
        <f t="shared" si="16"/>
        <v>1.3503102378490171E-3</v>
      </c>
      <c r="AI6">
        <f t="shared" si="25"/>
        <v>2.637324683298861E-3</v>
      </c>
      <c r="AJ6">
        <f t="shared" si="26"/>
        <v>1.4651803796104784E-2</v>
      </c>
      <c r="AK6" s="3">
        <f t="shared" si="17"/>
        <v>5.9944516387001164E-2</v>
      </c>
      <c r="AL6">
        <v>4</v>
      </c>
      <c r="AM6">
        <f t="shared" si="18"/>
        <v>0.40960000000000019</v>
      </c>
    </row>
    <row r="7" spans="1:39">
      <c r="A7">
        <v>4</v>
      </c>
      <c r="B7">
        <f>(0.1019+0.102)/2</f>
        <v>0.10195</v>
      </c>
      <c r="C7">
        <f t="shared" si="0"/>
        <v>5.3231644260599788E-4</v>
      </c>
      <c r="D7">
        <f t="shared" si="1"/>
        <v>1.5969493278179935E-3</v>
      </c>
      <c r="E7">
        <f t="shared" si="19"/>
        <v>3.8988020698681467E-3</v>
      </c>
      <c r="F7">
        <f t="shared" si="20"/>
        <v>1.5534497351132721E-2</v>
      </c>
      <c r="H7">
        <f>(0.1159+0.1158)/2</f>
        <v>0.11585000000000001</v>
      </c>
      <c r="I7">
        <f t="shared" si="2"/>
        <v>6.0418821096173741E-4</v>
      </c>
      <c r="J7">
        <f t="shared" si="3"/>
        <v>1.8125646328852119E-3</v>
      </c>
      <c r="K7">
        <f t="shared" si="4"/>
        <v>4.4252066232549096E-3</v>
      </c>
      <c r="L7">
        <f t="shared" si="21"/>
        <v>2.4584481240305055E-2</v>
      </c>
      <c r="N7">
        <f>(0.1193+0.1194)/2</f>
        <v>0.11935000000000001</v>
      </c>
      <c r="O7">
        <f t="shared" si="5"/>
        <v>6.2228541882109617E-4</v>
      </c>
      <c r="P7">
        <f t="shared" si="6"/>
        <v>1.8668562564632884E-3</v>
      </c>
      <c r="Q7">
        <f t="shared" si="7"/>
        <v>4.5577545323810731E-3</v>
      </c>
      <c r="R7">
        <f t="shared" si="22"/>
        <v>2.6229509034038041E-2</v>
      </c>
      <c r="S7" s="3">
        <f t="shared" si="8"/>
        <v>2.2116162541825274E-2</v>
      </c>
      <c r="T7">
        <f>(0.1099+0.1098)/2</f>
        <v>0.10985</v>
      </c>
      <c r="U7">
        <f t="shared" si="9"/>
        <v>5.7316442605997932E-4</v>
      </c>
      <c r="V7">
        <f t="shared" si="10"/>
        <v>1.719493278179938E-3</v>
      </c>
      <c r="W7">
        <f t="shared" si="11"/>
        <v>4.1979816361814876E-3</v>
      </c>
      <c r="X7">
        <f t="shared" si="23"/>
        <v>1.9990388743721371E-2</v>
      </c>
      <c r="Z7">
        <f>(0.0756+0.0755)/2</f>
        <v>7.5550000000000006E-2</v>
      </c>
      <c r="AA7">
        <f t="shared" si="12"/>
        <v>3.9581178903826271E-4</v>
      </c>
      <c r="AB7">
        <f t="shared" si="13"/>
        <v>1.1874353671147879E-3</v>
      </c>
      <c r="AC7">
        <f t="shared" si="14"/>
        <v>2.8990121267450865E-3</v>
      </c>
      <c r="AD7">
        <f t="shared" si="24"/>
        <v>0.15105051521642773</v>
      </c>
      <c r="AF7">
        <f>(0.0874+0.087)/2</f>
        <v>8.72E-2</v>
      </c>
      <c r="AG7">
        <f t="shared" si="15"/>
        <v>4.5604963805584279E-4</v>
      </c>
      <c r="AH7">
        <f t="shared" si="16"/>
        <v>1.3681489141675282E-3</v>
      </c>
      <c r="AI7">
        <f t="shared" si="25"/>
        <v>3.3402073099793156E-3</v>
      </c>
      <c r="AJ7">
        <f t="shared" si="26"/>
        <v>1.8556707277662867E-2</v>
      </c>
      <c r="AK7" s="3">
        <f t="shared" si="17"/>
        <v>6.3199203745937321E-2</v>
      </c>
      <c r="AL7">
        <v>5</v>
      </c>
      <c r="AM7">
        <f t="shared" si="18"/>
        <v>0.32768000000000019</v>
      </c>
    </row>
    <row r="8" spans="1:39">
      <c r="A8">
        <v>26</v>
      </c>
      <c r="B8">
        <f>(0.3228+0.3227)/2</f>
        <v>0.32274999999999998</v>
      </c>
      <c r="C8">
        <f t="shared" si="0"/>
        <v>1.6739917269906928E-3</v>
      </c>
      <c r="D8">
        <f t="shared" si="1"/>
        <v>5.0219751809720782E-3</v>
      </c>
      <c r="E8">
        <f t="shared" si="19"/>
        <v>1.5325851992712632E-2</v>
      </c>
      <c r="F8">
        <f t="shared" si="20"/>
        <v>6.1064758589475694E-2</v>
      </c>
      <c r="H8">
        <f>(0.3198+0.3196)/2</f>
        <v>0.31969999999999998</v>
      </c>
      <c r="I8">
        <f t="shared" si="2"/>
        <v>1.6582213029989658E-3</v>
      </c>
      <c r="J8">
        <f t="shared" si="3"/>
        <v>4.9746639089968967E-3</v>
      </c>
      <c r="K8">
        <f t="shared" si="4"/>
        <v>1.5181469448843059E-2</v>
      </c>
      <c r="L8">
        <f t="shared" si="21"/>
        <v>8.4341496938016999E-2</v>
      </c>
      <c r="N8">
        <f>(0.3535+0.3533)/2</f>
        <v>0.35339999999999999</v>
      </c>
      <c r="O8">
        <f t="shared" si="5"/>
        <v>1.8324715615305066E-3</v>
      </c>
      <c r="P8">
        <f t="shared" si="6"/>
        <v>5.4974146845915197E-3</v>
      </c>
      <c r="Q8">
        <f t="shared" si="7"/>
        <v>1.6776778212254383E-2</v>
      </c>
      <c r="R8">
        <f t="shared" si="22"/>
        <v>9.654900292545783E-2</v>
      </c>
      <c r="S8" s="3">
        <f t="shared" si="8"/>
        <v>8.0651752817650177E-2</v>
      </c>
      <c r="T8">
        <f>(0.3642+0.3641)/2</f>
        <v>0.36414999999999997</v>
      </c>
      <c r="U8">
        <f t="shared" si="9"/>
        <v>1.888055842812823E-3</v>
      </c>
      <c r="V8">
        <f t="shared" si="10"/>
        <v>5.6641675284384687E-3</v>
      </c>
      <c r="W8">
        <f t="shared" si="11"/>
        <v>1.7285667506220903E-2</v>
      </c>
      <c r="X8">
        <f t="shared" si="23"/>
        <v>8.2312702410575728E-2</v>
      </c>
      <c r="Z8">
        <f>(0.3007+0.3006)/2</f>
        <v>0.30064999999999997</v>
      </c>
      <c r="AA8">
        <f t="shared" si="12"/>
        <v>1.559720785935884E-3</v>
      </c>
      <c r="AB8">
        <f t="shared" si="13"/>
        <v>4.6791623578076513E-3</v>
      </c>
      <c r="AC8">
        <f t="shared" si="14"/>
        <v>1.4279670281395412E-2</v>
      </c>
      <c r="AD8">
        <f t="shared" si="24"/>
        <v>0.15105051521642773</v>
      </c>
      <c r="AF8">
        <f>(0.342+0.3419)/2</f>
        <v>0.34194999999999998</v>
      </c>
      <c r="AG8">
        <f t="shared" si="15"/>
        <v>1.7732678386763183E-3</v>
      </c>
      <c r="AH8">
        <f t="shared" si="16"/>
        <v>5.3198035160289545E-3</v>
      </c>
      <c r="AI8">
        <f t="shared" si="25"/>
        <v>1.623475194100632E-2</v>
      </c>
      <c r="AJ8">
        <f t="shared" si="26"/>
        <v>9.0193066338924002E-2</v>
      </c>
      <c r="AK8" s="3">
        <f t="shared" si="17"/>
        <v>0.10785209465530915</v>
      </c>
      <c r="AL8">
        <v>6</v>
      </c>
      <c r="AM8">
        <f t="shared" si="18"/>
        <v>0.26214400000000015</v>
      </c>
    </row>
    <row r="9" spans="1:39">
      <c r="A9">
        <v>29</v>
      </c>
      <c r="B9">
        <f>(0.231+0.2311)/2</f>
        <v>0.23105000000000001</v>
      </c>
      <c r="C9">
        <f t="shared" si="0"/>
        <v>1.1998448810754913E-3</v>
      </c>
      <c r="D9">
        <f t="shared" si="1"/>
        <v>3.5995346432264735E-3</v>
      </c>
      <c r="E9">
        <f t="shared" si="19"/>
        <v>1.373113496103848E-2</v>
      </c>
      <c r="F9">
        <f t="shared" si="20"/>
        <v>6.1064758589475694E-2</v>
      </c>
      <c r="H9">
        <f>(0.2442+0.2441)/2</f>
        <v>0.24415000000000001</v>
      </c>
      <c r="I9">
        <f t="shared" si="2"/>
        <v>1.2675801447776629E-3</v>
      </c>
      <c r="J9">
        <f t="shared" si="3"/>
        <v>3.8027404343329882E-3</v>
      </c>
      <c r="K9">
        <f t="shared" si="4"/>
        <v>1.4506303536731666E-2</v>
      </c>
      <c r="L9">
        <f t="shared" si="21"/>
        <v>8.4341496938016999E-2</v>
      </c>
      <c r="N9">
        <f>(0.2341+0.2354)/2</f>
        <v>0.23475000000000001</v>
      </c>
      <c r="O9">
        <f t="shared" si="5"/>
        <v>1.218976215098242E-3</v>
      </c>
      <c r="P9">
        <f t="shared" si="6"/>
        <v>3.6569286452947259E-3</v>
      </c>
      <c r="Q9">
        <f t="shared" si="7"/>
        <v>1.3950075703791517E-2</v>
      </c>
      <c r="R9">
        <f t="shared" si="22"/>
        <v>9.654900292545783E-2</v>
      </c>
      <c r="S9" s="3">
        <f t="shared" si="8"/>
        <v>8.0651752817650177E-2</v>
      </c>
      <c r="T9">
        <f>(0.2974+0.2972)/2</f>
        <v>0.29730000000000001</v>
      </c>
      <c r="U9">
        <f t="shared" si="9"/>
        <v>1.5423991726990693E-3</v>
      </c>
      <c r="V9">
        <f t="shared" si="10"/>
        <v>4.6271975180972071E-3</v>
      </c>
      <c r="W9">
        <f t="shared" si="11"/>
        <v>1.7651357719792191E-2</v>
      </c>
      <c r="X9">
        <f t="shared" si="23"/>
        <v>8.4054084379962812E-2</v>
      </c>
      <c r="Z9">
        <f>(0.2642+0.2641)/2</f>
        <v>0.26415</v>
      </c>
      <c r="AA9">
        <f t="shared" si="12"/>
        <v>1.3709927611168563E-3</v>
      </c>
      <c r="AB9">
        <f t="shared" si="13"/>
        <v>4.1129782833505685E-3</v>
      </c>
      <c r="AC9">
        <f t="shared" si="14"/>
        <v>1.5689767011072411E-2</v>
      </c>
      <c r="AD9">
        <f t="shared" si="24"/>
        <v>0.15105051521642773</v>
      </c>
      <c r="AF9">
        <f>(0.2823+0.2822)/2</f>
        <v>0.28225</v>
      </c>
      <c r="AG9">
        <f t="shared" si="15"/>
        <v>1.4645811789038262E-3</v>
      </c>
      <c r="AH9">
        <f t="shared" si="16"/>
        <v>4.3937435367114785E-3</v>
      </c>
      <c r="AI9">
        <f t="shared" si="25"/>
        <v>1.6760801455350784E-2</v>
      </c>
      <c r="AJ9">
        <f t="shared" si="26"/>
        <v>9.3115563640837687E-2</v>
      </c>
      <c r="AK9" s="3">
        <f t="shared" si="17"/>
        <v>0.10940672107907608</v>
      </c>
      <c r="AL9">
        <v>7</v>
      </c>
      <c r="AM9">
        <f t="shared" si="18"/>
        <v>0.20971520000000016</v>
      </c>
    </row>
    <row r="10" spans="1:39">
      <c r="A10">
        <v>47.5</v>
      </c>
      <c r="B10">
        <f>(0.0988+0.0986)/2</f>
        <v>9.8699999999999996E-2</v>
      </c>
      <c r="C10">
        <f t="shared" si="0"/>
        <v>5.15511892450879E-4</v>
      </c>
      <c r="D10">
        <f t="shared" si="1"/>
        <v>1.546535677352637E-3</v>
      </c>
      <c r="E10">
        <f t="shared" si="19"/>
        <v>7.3744567744857591E-3</v>
      </c>
      <c r="F10">
        <f t="shared" si="20"/>
        <v>6.1064758589475694E-2</v>
      </c>
      <c r="H10">
        <f>(0.114+0.1142)/2</f>
        <v>0.11410000000000001</v>
      </c>
      <c r="I10">
        <f t="shared" si="2"/>
        <v>5.9513960703205793E-4</v>
      </c>
      <c r="J10">
        <f t="shared" si="3"/>
        <v>1.7854188210961735E-3</v>
      </c>
      <c r="K10">
        <f t="shared" si="4"/>
        <v>8.5135403685387238E-3</v>
      </c>
      <c r="L10">
        <f t="shared" si="21"/>
        <v>8.4341496938016999E-2</v>
      </c>
      <c r="N10">
        <f>(0.1114+0.1129)/2</f>
        <v>0.11215</v>
      </c>
      <c r="O10">
        <f t="shared" si="5"/>
        <v>5.8505687693898652E-4</v>
      </c>
      <c r="P10">
        <f t="shared" si="6"/>
        <v>1.7551706308169596E-3</v>
      </c>
      <c r="Q10">
        <f t="shared" si="7"/>
        <v>8.3693057576034458E-3</v>
      </c>
      <c r="R10">
        <f t="shared" si="22"/>
        <v>9.654900292545783E-2</v>
      </c>
      <c r="S10" s="3">
        <f t="shared" si="8"/>
        <v>8.0651752817650177E-2</v>
      </c>
      <c r="T10">
        <f>(0.3665+0.3664)/2</f>
        <v>0.36645</v>
      </c>
      <c r="U10">
        <f t="shared" si="9"/>
        <v>1.8999482936918304E-3</v>
      </c>
      <c r="V10">
        <f t="shared" si="10"/>
        <v>5.6998448810754911E-3</v>
      </c>
      <c r="W10">
        <f t="shared" si="11"/>
        <v>2.7178978352906641E-2</v>
      </c>
      <c r="X10">
        <f t="shared" si="23"/>
        <v>0.12942370644241258</v>
      </c>
      <c r="Z10">
        <f>(0.2869+0.2872)/2</f>
        <v>0.28705000000000003</v>
      </c>
      <c r="AA10">
        <f t="shared" si="12"/>
        <v>1.4894002068252328E-3</v>
      </c>
      <c r="AB10">
        <f t="shared" si="13"/>
        <v>4.468200620475698E-3</v>
      </c>
      <c r="AC10">
        <f t="shared" si="14"/>
        <v>2.1306040861490703E-2</v>
      </c>
      <c r="AD10">
        <f t="shared" si="24"/>
        <v>0.152186006153505</v>
      </c>
      <c r="AF10">
        <f>(0.343+0.3433)/2</f>
        <v>0.34315000000000001</v>
      </c>
      <c r="AG10">
        <f t="shared" si="15"/>
        <v>1.7794725956566701E-3</v>
      </c>
      <c r="AH10">
        <f t="shared" si="16"/>
        <v>5.3384177869700098E-3</v>
      </c>
      <c r="AI10">
        <f t="shared" si="25"/>
        <v>2.545555966839793E-2</v>
      </c>
      <c r="AJ10">
        <f t="shared" si="26"/>
        <v>0.14141977593554406</v>
      </c>
      <c r="AK10" s="3">
        <f t="shared" si="17"/>
        <v>0.14100982951048721</v>
      </c>
      <c r="AL10">
        <v>8</v>
      </c>
      <c r="AM10">
        <f t="shared" si="18"/>
        <v>0.16777216000000014</v>
      </c>
    </row>
    <row r="11" spans="1:39">
      <c r="A11">
        <v>67</v>
      </c>
      <c r="B11">
        <f>(0.0773+0.0775)/2</f>
        <v>7.7399999999999997E-2</v>
      </c>
      <c r="C11">
        <f t="shared" si="0"/>
        <v>4.0537745604963805E-4</v>
      </c>
      <c r="D11">
        <f t="shared" si="1"/>
        <v>1.2161323681489141E-3</v>
      </c>
      <c r="E11">
        <f t="shared" si="19"/>
        <v>7.248713780337054E-3</v>
      </c>
      <c r="F11">
        <f t="shared" si="20"/>
        <v>6.1064758589475694E-2</v>
      </c>
      <c r="H11">
        <f>(0.0789+0.0786)/2</f>
        <v>7.8750000000000001E-2</v>
      </c>
      <c r="I11">
        <f t="shared" si="2"/>
        <v>4.1235780765253358E-4</v>
      </c>
      <c r="J11">
        <f t="shared" si="3"/>
        <v>1.2370734229576006E-3</v>
      </c>
      <c r="K11">
        <f t="shared" si="4"/>
        <v>7.3735321936464282E-3</v>
      </c>
      <c r="L11">
        <f t="shared" si="21"/>
        <v>8.4341496938016999E-2</v>
      </c>
      <c r="N11">
        <f>(0.0719+0.0721)/2</f>
        <v>7.2000000000000008E-2</v>
      </c>
      <c r="O11">
        <f t="shared" si="5"/>
        <v>3.774560496380559E-4</v>
      </c>
      <c r="P11">
        <f t="shared" si="6"/>
        <v>1.1323681489141676E-3</v>
      </c>
      <c r="Q11">
        <f t="shared" si="7"/>
        <v>6.7494401270995538E-3</v>
      </c>
      <c r="R11">
        <f t="shared" si="22"/>
        <v>9.654900292545783E-2</v>
      </c>
      <c r="S11" s="3">
        <f t="shared" si="8"/>
        <v>8.0651752817650177E-2</v>
      </c>
      <c r="T11">
        <f>(0.3449+0.3441)/2</f>
        <v>0.34450000000000003</v>
      </c>
      <c r="U11">
        <f t="shared" si="9"/>
        <v>1.7864529472595657E-3</v>
      </c>
      <c r="V11">
        <f t="shared" si="10"/>
        <v>5.3593588417786961E-3</v>
      </c>
      <c r="W11">
        <f t="shared" si="11"/>
        <v>3.1944267998806786E-2</v>
      </c>
      <c r="X11">
        <f t="shared" si="23"/>
        <v>0.15211556189907993</v>
      </c>
      <c r="Z11">
        <f>(0.2465+0.2468)/2</f>
        <v>0.24664999999999998</v>
      </c>
      <c r="AA11">
        <f t="shared" si="12"/>
        <v>1.2805067218200619E-3</v>
      </c>
      <c r="AB11">
        <f t="shared" si="13"/>
        <v>3.8415201654601852E-3</v>
      </c>
      <c r="AC11">
        <f t="shared" si="14"/>
        <v>2.2897244485975396E-2</v>
      </c>
      <c r="AD11">
        <f t="shared" si="24"/>
        <v>0.16355174632839567</v>
      </c>
      <c r="AF11">
        <f>(0.3053+0.3052)/2</f>
        <v>0.30525000000000002</v>
      </c>
      <c r="AG11">
        <f t="shared" si="15"/>
        <v>1.5835056876938988E-3</v>
      </c>
      <c r="AH11">
        <f t="shared" si="16"/>
        <v>4.7505170630816954E-3</v>
      </c>
      <c r="AI11">
        <f t="shared" si="25"/>
        <v>2.8315288204441614E-2</v>
      </c>
      <c r="AJ11">
        <f t="shared" si="26"/>
        <v>0.15730715669134229</v>
      </c>
      <c r="AK11" s="3">
        <f t="shared" si="17"/>
        <v>0.15765815497293931</v>
      </c>
      <c r="AL11">
        <v>9</v>
      </c>
      <c r="AM11">
        <f t="shared" si="18"/>
        <v>0.13421772800000012</v>
      </c>
    </row>
    <row r="12" spans="1:39">
      <c r="A12">
        <v>73.5</v>
      </c>
      <c r="B12">
        <f>(0.0762+0.0758)/2</f>
        <v>7.6000000000000012E-2</v>
      </c>
      <c r="C12">
        <f t="shared" si="0"/>
        <v>3.9813857290589457E-4</v>
      </c>
      <c r="D12">
        <f t="shared" si="1"/>
        <v>1.1944157187176836E-3</v>
      </c>
      <c r="E12">
        <f t="shared" si="19"/>
        <v>8.8990905785387934E-3</v>
      </c>
      <c r="F12">
        <f t="shared" si="20"/>
        <v>6.1064758589475694E-2</v>
      </c>
      <c r="H12">
        <f>(0.093+0.0925)/2</f>
        <v>9.2749999999999999E-2</v>
      </c>
      <c r="I12">
        <f t="shared" si="2"/>
        <v>4.8474663908996897E-4</v>
      </c>
      <c r="J12">
        <f t="shared" si="3"/>
        <v>1.4542399172699069E-3</v>
      </c>
      <c r="K12">
        <f t="shared" si="4"/>
        <v>1.0834931710883271E-2</v>
      </c>
      <c r="L12">
        <f t="shared" si="21"/>
        <v>8.4341496938016999E-2</v>
      </c>
      <c r="N12">
        <f>(0.0754+0.0757)/2</f>
        <v>7.5550000000000006E-2</v>
      </c>
      <c r="O12">
        <f t="shared" si="5"/>
        <v>3.9581178903826271E-4</v>
      </c>
      <c r="P12">
        <f t="shared" si="6"/>
        <v>1.1874353671147879E-3</v>
      </c>
      <c r="Q12">
        <f t="shared" si="7"/>
        <v>8.8470829063265546E-3</v>
      </c>
      <c r="R12">
        <f t="shared" si="22"/>
        <v>9.654900292545783E-2</v>
      </c>
      <c r="S12" s="3">
        <f t="shared" si="8"/>
        <v>8.0651752817650177E-2</v>
      </c>
      <c r="T12">
        <f>(0.2723+0.2721)/2</f>
        <v>0.2722</v>
      </c>
      <c r="U12">
        <f t="shared" si="9"/>
        <v>1.4126163391933815E-3</v>
      </c>
      <c r="V12">
        <f t="shared" si="10"/>
        <v>4.2378490175801441E-3</v>
      </c>
      <c r="W12">
        <f t="shared" si="11"/>
        <v>3.1574435663075301E-2</v>
      </c>
      <c r="X12">
        <f t="shared" si="23"/>
        <v>0.15211556189907993</v>
      </c>
      <c r="Z12">
        <f>(0.2065+0.2067)/2</f>
        <v>0.20660000000000001</v>
      </c>
      <c r="AA12">
        <f t="shared" si="12"/>
        <v>1.0734229576008273E-3</v>
      </c>
      <c r="AB12">
        <f t="shared" si="13"/>
        <v>3.2202688728024819E-3</v>
      </c>
      <c r="AC12">
        <f t="shared" si="14"/>
        <v>2.3992872780579919E-2</v>
      </c>
      <c r="AD12">
        <f t="shared" si="24"/>
        <v>0.17137766271842797</v>
      </c>
      <c r="AF12">
        <f>(0.2453+0.2454)/2</f>
        <v>0.24535000000000001</v>
      </c>
      <c r="AG12">
        <f t="shared" si="15"/>
        <v>1.2737849017580144E-3</v>
      </c>
      <c r="AH12">
        <f t="shared" si="16"/>
        <v>3.8213547052740431E-3</v>
      </c>
      <c r="AI12">
        <f t="shared" si="25"/>
        <v>2.8471311221078335E-2</v>
      </c>
      <c r="AJ12">
        <f t="shared" si="26"/>
        <v>0.15817395122821298</v>
      </c>
      <c r="AK12" s="3">
        <f t="shared" si="17"/>
        <v>0.16055572528190695</v>
      </c>
      <c r="AL12">
        <v>10</v>
      </c>
      <c r="AM12">
        <f t="shared" si="18"/>
        <v>0.10737418240000011</v>
      </c>
    </row>
    <row r="13" spans="1:39">
      <c r="A13">
        <v>113</v>
      </c>
      <c r="B13">
        <f>(0.0707+0.0706)/2</f>
        <v>7.0649999999999991E-2</v>
      </c>
      <c r="C13">
        <f t="shared" si="0"/>
        <v>3.7047569803516021E-4</v>
      </c>
      <c r="D13">
        <f t="shared" si="1"/>
        <v>1.1114270941054805E-3</v>
      </c>
      <c r="E13">
        <f t="shared" si="19"/>
        <v>1.0350971427797147E-2</v>
      </c>
      <c r="F13">
        <f t="shared" si="20"/>
        <v>6.1064758589475694E-2</v>
      </c>
      <c r="H13">
        <f>(0.0708+0.0706)/2</f>
        <v>7.0699999999999999E-2</v>
      </c>
      <c r="I13">
        <f t="shared" si="2"/>
        <v>3.7073422957600827E-4</v>
      </c>
      <c r="J13">
        <f t="shared" si="3"/>
        <v>1.1122026887280248E-3</v>
      </c>
      <c r="K13">
        <f t="shared" si="4"/>
        <v>1.0358194715604405E-2</v>
      </c>
      <c r="L13">
        <f t="shared" si="21"/>
        <v>8.4341496938016999E-2</v>
      </c>
      <c r="N13">
        <f>(0.0756+0.0762)/2</f>
        <v>7.5899999999999995E-2</v>
      </c>
      <c r="O13">
        <f t="shared" si="5"/>
        <v>3.976215098241985E-4</v>
      </c>
      <c r="P13">
        <f t="shared" si="6"/>
        <v>1.1928645294725954E-3</v>
      </c>
      <c r="Q13">
        <f t="shared" si="7"/>
        <v>1.1109416647558979E-2</v>
      </c>
      <c r="R13">
        <f t="shared" si="22"/>
        <v>9.654900292545783E-2</v>
      </c>
      <c r="S13" s="3">
        <f t="shared" si="8"/>
        <v>8.0651752817650177E-2</v>
      </c>
      <c r="T13">
        <f>(0.2114+0.2115)/2</f>
        <v>0.21145</v>
      </c>
      <c r="U13">
        <f t="shared" si="9"/>
        <v>1.0985005170630817E-3</v>
      </c>
      <c r="V13">
        <f t="shared" si="10"/>
        <v>3.295501551189245E-3</v>
      </c>
      <c r="W13">
        <f t="shared" si="11"/>
        <v>3.0691749893028676E-2</v>
      </c>
      <c r="X13">
        <f t="shared" si="23"/>
        <v>0.15211556189907993</v>
      </c>
      <c r="Z13">
        <f>(0.1683+0.1684)/2</f>
        <v>0.16835</v>
      </c>
      <c r="AA13">
        <f t="shared" si="12"/>
        <v>8.756463288521199E-4</v>
      </c>
      <c r="AB13">
        <f t="shared" si="13"/>
        <v>2.6269389865563593E-3</v>
      </c>
      <c r="AC13">
        <f t="shared" si="14"/>
        <v>2.4465275803174417E-2</v>
      </c>
      <c r="AD13">
        <f t="shared" si="24"/>
        <v>0.1747519700226744</v>
      </c>
      <c r="AF13">
        <f>(0.1787+0.1788)/2</f>
        <v>0.17874999999999999</v>
      </c>
      <c r="AG13">
        <f t="shared" si="15"/>
        <v>9.2942088934850047E-4</v>
      </c>
      <c r="AH13">
        <f t="shared" si="16"/>
        <v>2.788262668045501E-3</v>
      </c>
      <c r="AI13">
        <f t="shared" si="25"/>
        <v>2.5967719667083566E-2</v>
      </c>
      <c r="AJ13">
        <f t="shared" si="26"/>
        <v>0.15817395122821298</v>
      </c>
      <c r="AK13" s="3">
        <f t="shared" si="17"/>
        <v>0.16168049438332244</v>
      </c>
      <c r="AL13">
        <v>11</v>
      </c>
      <c r="AM13">
        <f t="shared" si="18"/>
        <v>8.5899345920000092E-2</v>
      </c>
    </row>
    <row r="14" spans="1:39">
      <c r="A14">
        <v>166</v>
      </c>
      <c r="B14">
        <f>(0.3131+0.313)/2</f>
        <v>0.31304999999999999</v>
      </c>
      <c r="C14">
        <f>(B14+0.001)/193.4</f>
        <v>1.623836608066184E-3</v>
      </c>
      <c r="D14">
        <f t="shared" si="1"/>
        <v>4.8715098241985519E-3</v>
      </c>
      <c r="E14">
        <f t="shared" si="19"/>
        <v>5.6711838396714842E-2</v>
      </c>
      <c r="F14">
        <f t="shared" si="20"/>
        <v>0.22596425454894348</v>
      </c>
      <c r="H14">
        <f>(0.1596+0.1594)/2</f>
        <v>0.15949999999999998</v>
      </c>
      <c r="I14">
        <f t="shared" si="2"/>
        <v>8.2988624612202679E-4</v>
      </c>
      <c r="J14">
        <f t="shared" si="3"/>
        <v>2.4896587383660801E-3</v>
      </c>
      <c r="K14">
        <f t="shared" si="4"/>
        <v>2.8983442326612742E-2</v>
      </c>
      <c r="L14">
        <f t="shared" si="21"/>
        <v>0.16101912403673746</v>
      </c>
      <c r="N14">
        <f>(0.2536+0.2534)/2</f>
        <v>0.2535</v>
      </c>
      <c r="O14">
        <f t="shared" si="5"/>
        <v>1.3159255429162357E-3</v>
      </c>
      <c r="P14">
        <f t="shared" si="6"/>
        <v>3.9477766287487068E-3</v>
      </c>
      <c r="Q14">
        <f t="shared" si="7"/>
        <v>4.5958168673663202E-2</v>
      </c>
      <c r="R14">
        <f t="shared" si="22"/>
        <v>0.26448554696163806</v>
      </c>
      <c r="S14" s="3">
        <f t="shared" si="8"/>
        <v>0.21715630851577297</v>
      </c>
      <c r="T14">
        <f>(0.1783+0.1773)/2</f>
        <v>0.17780000000000001</v>
      </c>
      <c r="U14">
        <f t="shared" si="9"/>
        <v>9.2450879007238891E-4</v>
      </c>
      <c r="V14">
        <f t="shared" si="10"/>
        <v>2.7735263702171665E-3</v>
      </c>
      <c r="W14">
        <f t="shared" si="11"/>
        <v>3.2288096498432145E-2</v>
      </c>
      <c r="X14">
        <f t="shared" si="23"/>
        <v>0.15375284046872451</v>
      </c>
      <c r="Z14">
        <f>(0.1195+0.1193)/2</f>
        <v>0.11940000000000001</v>
      </c>
      <c r="AA14">
        <f t="shared" si="12"/>
        <v>6.2254395036194412E-4</v>
      </c>
      <c r="AB14">
        <f t="shared" si="13"/>
        <v>1.867631851085832E-3</v>
      </c>
      <c r="AC14">
        <f t="shared" si="14"/>
        <v>2.174209629983909E-2</v>
      </c>
      <c r="AD14">
        <f t="shared" si="24"/>
        <v>0.1747519700226744</v>
      </c>
      <c r="AF14">
        <f>(0.142+0.1418)/2</f>
        <v>0.1419</v>
      </c>
      <c r="AG14">
        <f t="shared" si="15"/>
        <v>7.3888314374353668E-4</v>
      </c>
      <c r="AH14">
        <f t="shared" si="16"/>
        <v>2.2166494312306096E-3</v>
      </c>
      <c r="AI14">
        <f t="shared" si="25"/>
        <v>2.5805195691420316E-2</v>
      </c>
      <c r="AJ14">
        <f t="shared" si="26"/>
        <v>0.15817395122821298</v>
      </c>
      <c r="AK14" s="3">
        <f t="shared" si="17"/>
        <v>0.1622262539065373</v>
      </c>
      <c r="AL14">
        <v>12</v>
      </c>
      <c r="AM14">
        <f t="shared" si="18"/>
        <v>6.8719476736000096E-2</v>
      </c>
    </row>
    <row r="15" spans="1:39">
      <c r="A15">
        <v>188</v>
      </c>
      <c r="B15">
        <f>(0.3218+0.3215)/2</f>
        <v>0.32164999999999999</v>
      </c>
      <c r="C15">
        <f t="shared" ref="C15:C17" si="27">(B15+0.001)/193.4</f>
        <v>1.6683040330920372E-3</v>
      </c>
      <c r="D15">
        <f t="shared" ref="D15:D17" si="28">C15*0.6/0.2</f>
        <v>5.004912099276111E-3</v>
      </c>
      <c r="E15">
        <f t="shared" si="19"/>
        <v>7.283105659409346E-2</v>
      </c>
      <c r="F15">
        <f t="shared" si="20"/>
        <v>0.29019012390629123</v>
      </c>
      <c r="H15">
        <f>(0.3561+0.3658)/2</f>
        <v>0.36094999999999999</v>
      </c>
      <c r="I15">
        <f t="shared" ref="I15:I17" si="29">(H15+0.001)/193.4</f>
        <v>1.8715098241985522E-3</v>
      </c>
      <c r="J15">
        <f t="shared" ref="J15:J17" si="30">I15*0.6/0.2</f>
        <v>5.6145294725956562E-3</v>
      </c>
      <c r="K15">
        <f t="shared" si="4"/>
        <v>8.1702156932379144E-2</v>
      </c>
      <c r="L15">
        <f t="shared" si="21"/>
        <v>0.45390087184655081</v>
      </c>
      <c r="N15">
        <f>(0.3667+0.3662)/2</f>
        <v>0.36645000000000005</v>
      </c>
      <c r="O15">
        <f t="shared" ref="O15:O17" si="31">(N15+0.001)/193.4</f>
        <v>1.8999482936918307E-3</v>
      </c>
      <c r="P15">
        <f t="shared" ref="P15:P17" si="32">O15*0.6/0.2</f>
        <v>5.699844881075492E-3</v>
      </c>
      <c r="Q15">
        <f t="shared" si="7"/>
        <v>8.2943659524251201E-2</v>
      </c>
      <c r="R15">
        <f t="shared" si="22"/>
        <v>0.47733405810930213</v>
      </c>
      <c r="S15" s="3">
        <f t="shared" si="8"/>
        <v>0.40714168462071476</v>
      </c>
      <c r="T15">
        <f>(0.0811+0.081)/2</f>
        <v>8.1050000000000011E-2</v>
      </c>
      <c r="U15">
        <f t="shared" ref="U15:U17" si="33">(T15+0.001)/193.4</f>
        <v>4.2425025853154089E-4</v>
      </c>
      <c r="V15">
        <f t="shared" ref="V15:V17" si="34">U15*0.6/0.2</f>
        <v>1.2727507755946226E-3</v>
      </c>
      <c r="W15">
        <f t="shared" si="11"/>
        <v>1.8520961393291086E-2</v>
      </c>
      <c r="X15">
        <f t="shared" si="23"/>
        <v>0.15375284046872451</v>
      </c>
      <c r="Z15">
        <f>(0.0565+0.0566)/2</f>
        <v>5.6550000000000003E-2</v>
      </c>
      <c r="AA15">
        <f t="shared" ref="AA15:AA17" si="35">(Z15+0.001)/193.4</f>
        <v>2.9756980351602896E-4</v>
      </c>
      <c r="AB15">
        <f t="shared" ref="AB15:AB17" si="36">AA15*0.6/0.2</f>
        <v>8.9270941054808673E-4</v>
      </c>
      <c r="AC15">
        <f t="shared" si="14"/>
        <v>1.2990631665861081E-2</v>
      </c>
      <c r="AD15">
        <f t="shared" si="24"/>
        <v>0.1747519700226744</v>
      </c>
      <c r="AF15">
        <f>(0.0718+0.0716)/2</f>
        <v>7.17E-2</v>
      </c>
      <c r="AG15">
        <f t="shared" ref="AG15:AG17" si="37">(AF15+0.001)/193.4</f>
        <v>3.7590486039296796E-4</v>
      </c>
      <c r="AH15">
        <f t="shared" ref="AH15:AH17" si="38">AG15*0.6/0.2</f>
        <v>1.1277145811789038E-3</v>
      </c>
      <c r="AI15">
        <f t="shared" si="25"/>
        <v>1.6410406987108613E-2</v>
      </c>
      <c r="AJ15">
        <f t="shared" si="26"/>
        <v>0.15817395122821298</v>
      </c>
      <c r="AK15" s="3">
        <f t="shared" si="17"/>
        <v>0.1622262539065373</v>
      </c>
      <c r="AL15">
        <v>13</v>
      </c>
      <c r="AM15">
        <f t="shared" si="18"/>
        <v>5.4975581388800078E-2</v>
      </c>
    </row>
    <row r="16" spans="1:39">
      <c r="A16">
        <v>237</v>
      </c>
      <c r="B16">
        <f>(0.2704+0.2702)/2</f>
        <v>0.27029999999999998</v>
      </c>
      <c r="C16">
        <f t="shared" si="27"/>
        <v>1.4027921406411582E-3</v>
      </c>
      <c r="D16">
        <f t="shared" si="28"/>
        <v>4.2083764219234742E-3</v>
      </c>
      <c r="E16">
        <f t="shared" si="19"/>
        <v>7.6549921176110147E-2</v>
      </c>
      <c r="F16">
        <f t="shared" si="20"/>
        <v>0.30500767323638922</v>
      </c>
      <c r="H16">
        <f>(0.3057+0.3051)/2</f>
        <v>0.3054</v>
      </c>
      <c r="I16">
        <f t="shared" si="29"/>
        <v>1.5842812823164427E-3</v>
      </c>
      <c r="J16">
        <f t="shared" si="30"/>
        <v>4.7528438469493272E-3</v>
      </c>
      <c r="K16">
        <f t="shared" si="4"/>
        <v>8.645372594308938E-2</v>
      </c>
      <c r="L16">
        <f t="shared" si="21"/>
        <v>0.4802984774616077</v>
      </c>
      <c r="N16">
        <f>(0.3024+0.3025)/2</f>
        <v>0.30245</v>
      </c>
      <c r="O16">
        <f t="shared" si="31"/>
        <v>1.5690279214064114E-3</v>
      </c>
      <c r="P16">
        <f t="shared" si="32"/>
        <v>4.7070837642192338E-3</v>
      </c>
      <c r="Q16">
        <f t="shared" si="7"/>
        <v>8.5621354887175163E-2</v>
      </c>
      <c r="R16">
        <f t="shared" si="22"/>
        <v>0.49274397854561042</v>
      </c>
      <c r="S16" s="3">
        <f t="shared" si="8"/>
        <v>0.42601670974786909</v>
      </c>
      <c r="T16">
        <f>(0.1009+0.1008)/2</f>
        <v>0.10085</v>
      </c>
      <c r="U16">
        <f t="shared" si="33"/>
        <v>5.2662874870734223E-4</v>
      </c>
      <c r="V16">
        <f t="shared" si="34"/>
        <v>1.5798862461220266E-3</v>
      </c>
      <c r="W16">
        <f t="shared" si="11"/>
        <v>2.8737963405038036E-2</v>
      </c>
      <c r="X16">
        <f t="shared" si="23"/>
        <v>0.15375284046872451</v>
      </c>
      <c r="Z16">
        <f>(0.0651+0.065)/2</f>
        <v>6.5049999999999997E-2</v>
      </c>
      <c r="AA16">
        <f t="shared" si="35"/>
        <v>3.4152016546018613E-4</v>
      </c>
      <c r="AB16">
        <f t="shared" si="36"/>
        <v>1.0245604963805583E-3</v>
      </c>
      <c r="AC16">
        <f t="shared" si="14"/>
        <v>1.8636646862079158E-2</v>
      </c>
      <c r="AD16">
        <f t="shared" si="24"/>
        <v>0.1747519700226744</v>
      </c>
      <c r="AF16">
        <f>(0.085+0.0849)/2</f>
        <v>8.4949999999999998E-2</v>
      </c>
      <c r="AG16">
        <f t="shared" si="37"/>
        <v>4.4441571871768355E-4</v>
      </c>
      <c r="AH16">
        <f t="shared" si="38"/>
        <v>1.3332471561530506E-3</v>
      </c>
      <c r="AI16">
        <f t="shared" si="25"/>
        <v>2.4251624493500434E-2</v>
      </c>
      <c r="AJ16">
        <f t="shared" si="26"/>
        <v>0.15817395122821298</v>
      </c>
      <c r="AK16" s="3">
        <f t="shared" si="17"/>
        <v>0.1622262539065373</v>
      </c>
      <c r="AL16">
        <v>14</v>
      </c>
      <c r="AM16">
        <f t="shared" si="18"/>
        <v>4.3980465111040062E-2</v>
      </c>
    </row>
    <row r="17" spans="1:39">
      <c r="A17">
        <v>276</v>
      </c>
      <c r="B17">
        <f>(0.2328+0.2323)/2</f>
        <v>0.23255000000000001</v>
      </c>
      <c r="C17">
        <f t="shared" si="27"/>
        <v>1.2076008273009307E-3</v>
      </c>
      <c r="D17">
        <f t="shared" si="28"/>
        <v>3.622802481902792E-3</v>
      </c>
      <c r="E17">
        <f t="shared" si="19"/>
        <v>8.2372991571509985E-2</v>
      </c>
      <c r="F17">
        <f t="shared" si="20"/>
        <v>0.32820927978418135</v>
      </c>
      <c r="H17">
        <f>(0.2699+0.2704)/2</f>
        <v>0.27015</v>
      </c>
      <c r="I17">
        <f t="shared" si="29"/>
        <v>1.4020165460186143E-3</v>
      </c>
      <c r="J17">
        <f t="shared" si="30"/>
        <v>4.2060496380558424E-3</v>
      </c>
      <c r="K17">
        <f t="shared" si="4"/>
        <v>9.5634496530143137E-2</v>
      </c>
      <c r="L17">
        <f t="shared" si="21"/>
        <v>0.53130275850079522</v>
      </c>
      <c r="N17">
        <f>(0.2443+0.2446)/2</f>
        <v>0.24445</v>
      </c>
      <c r="O17">
        <f t="shared" si="31"/>
        <v>1.2691313340227508E-3</v>
      </c>
      <c r="P17">
        <f t="shared" si="32"/>
        <v>3.8073940020682522E-3</v>
      </c>
      <c r="Q17">
        <f t="shared" si="7"/>
        <v>8.6570116811077402E-2</v>
      </c>
      <c r="R17">
        <f t="shared" si="22"/>
        <v>0.49820402675078312</v>
      </c>
      <c r="S17" s="3">
        <f t="shared" si="8"/>
        <v>0.45257202167858662</v>
      </c>
      <c r="T17">
        <f>(0.0768+0.0769)/2</f>
        <v>7.6850000000000002E-2</v>
      </c>
      <c r="U17">
        <f t="shared" si="33"/>
        <v>4.0253360910031023E-4</v>
      </c>
      <c r="V17">
        <f t="shared" si="34"/>
        <v>1.2076008273009305E-3</v>
      </c>
      <c r="W17">
        <f t="shared" si="11"/>
        <v>2.7457663857169991E-2</v>
      </c>
      <c r="X17">
        <f t="shared" si="23"/>
        <v>0.15375284046872451</v>
      </c>
      <c r="Z17">
        <f>(0.0484+0.0485)/2</f>
        <v>4.845E-2</v>
      </c>
      <c r="AA17">
        <f t="shared" si="35"/>
        <v>2.5568769389865565E-4</v>
      </c>
      <c r="AB17">
        <f t="shared" si="36"/>
        <v>7.6706308169596684E-4</v>
      </c>
      <c r="AC17">
        <f t="shared" si="14"/>
        <v>1.7440995218202391E-2</v>
      </c>
      <c r="AD17">
        <f t="shared" si="24"/>
        <v>0.1747519700226744</v>
      </c>
      <c r="AF17">
        <f>(0.0654+0.0652)/2</f>
        <v>6.5299999999999997E-2</v>
      </c>
      <c r="AG17">
        <f t="shared" si="37"/>
        <v>3.4281282316442606E-4</v>
      </c>
      <c r="AH17">
        <f t="shared" si="38"/>
        <v>1.028438469493278E-3</v>
      </c>
      <c r="AI17">
        <f t="shared" si="25"/>
        <v>2.3383983477589857E-2</v>
      </c>
      <c r="AJ17">
        <f t="shared" si="26"/>
        <v>0.15817395122821298</v>
      </c>
      <c r="AK17" s="3">
        <f t="shared" si="17"/>
        <v>0.1622262539065373</v>
      </c>
      <c r="AL17">
        <v>15</v>
      </c>
      <c r="AM17">
        <f t="shared" si="18"/>
        <v>3.5184372088832058E-2</v>
      </c>
    </row>
    <row r="18" spans="1:39">
      <c r="A18">
        <v>305</v>
      </c>
      <c r="B18">
        <f>(0.1891+0.186)/2</f>
        <v>0.18754999999999999</v>
      </c>
      <c r="C18">
        <f t="shared" ref="C18:C29" si="39">(B18+0.001)/193.4</f>
        <v>9.7492244053774553E-4</v>
      </c>
      <c r="D18">
        <f t="shared" ref="D18:D29" si="40">C18*0.6/0.2</f>
        <v>2.9247673216132365E-3</v>
      </c>
      <c r="E18">
        <f t="shared" si="19"/>
        <v>8.3126886966432251E-2</v>
      </c>
      <c r="F18">
        <f t="shared" si="20"/>
        <v>0.33121312194020214</v>
      </c>
      <c r="H18">
        <v>0.23599999999999999</v>
      </c>
      <c r="I18">
        <f t="shared" ref="I18:I29" si="41">(H18+0.001)/193.4</f>
        <v>1.2254395036194415E-3</v>
      </c>
      <c r="J18">
        <f t="shared" ref="J18:J29" si="42">I18*0.6/0.2</f>
        <v>3.6763185108583244E-3</v>
      </c>
      <c r="K18">
        <f t="shared" si="4"/>
        <v>0.10448725648923068</v>
      </c>
      <c r="L18">
        <f t="shared" si="21"/>
        <v>0.58048475827350388</v>
      </c>
      <c r="N18">
        <v>0.19489999999999999</v>
      </c>
      <c r="O18">
        <f t="shared" ref="O18:O29" si="43">(N18+0.001)/193.4</f>
        <v>1.012926577042399E-3</v>
      </c>
      <c r="P18">
        <f t="shared" ref="P18:P29" si="44">O18*0.6/0.2</f>
        <v>3.0387797311271971E-3</v>
      </c>
      <c r="Q18">
        <f t="shared" si="7"/>
        <v>8.6367314541098264E-2</v>
      </c>
      <c r="R18">
        <f t="shared" si="22"/>
        <v>0.49820402675078312</v>
      </c>
      <c r="S18" s="3">
        <f t="shared" si="8"/>
        <v>0.46996730232149636</v>
      </c>
      <c r="T18">
        <v>5.7099999999999998E-2</v>
      </c>
      <c r="U18">
        <f t="shared" ref="U18:U29" si="45">(T18+0.001)/193.4</f>
        <v>3.0041365046535673E-4</v>
      </c>
      <c r="V18">
        <f t="shared" ref="V18:V29" si="46">U18*0.6/0.2</f>
        <v>9.0124095139607009E-4</v>
      </c>
      <c r="W18">
        <f t="shared" si="11"/>
        <v>2.5614808447359923E-2</v>
      </c>
      <c r="X18">
        <f t="shared" si="23"/>
        <v>0.15375284046872451</v>
      </c>
      <c r="Z18">
        <v>3.6200000000000003E-2</v>
      </c>
      <c r="AA18">
        <f t="shared" ref="AA18:AA29" si="47">(Z18+0.001)/193.4</f>
        <v>1.9234746639089972E-4</v>
      </c>
      <c r="AB18">
        <f t="shared" ref="AB18:AB29" si="48">AA18*0.6/0.2</f>
        <v>5.7704239917269907E-4</v>
      </c>
      <c r="AC18">
        <f t="shared" si="14"/>
        <v>1.6400531398309628E-2</v>
      </c>
      <c r="AD18">
        <f t="shared" si="24"/>
        <v>0.1747519700226744</v>
      </c>
      <c r="AF18">
        <v>4.9799999999999997E-2</v>
      </c>
      <c r="AG18">
        <f t="shared" ref="AG18:AG29" si="49">(AF18+0.001)/193.4</f>
        <v>2.6266804550155118E-4</v>
      </c>
      <c r="AH18">
        <f t="shared" ref="AH18:AH29" si="50">AG18*0.6/0.2</f>
        <v>7.8800413650465353E-4</v>
      </c>
      <c r="AI18">
        <f t="shared" si="25"/>
        <v>2.2396424597691641E-2</v>
      </c>
      <c r="AJ18">
        <f t="shared" si="26"/>
        <v>0.15817395122821298</v>
      </c>
      <c r="AK18" s="3">
        <f t="shared" si="17"/>
        <v>0.1622262539065373</v>
      </c>
      <c r="AL18">
        <v>16</v>
      </c>
      <c r="AM18">
        <f t="shared" si="18"/>
        <v>2.8147497671065648E-2</v>
      </c>
    </row>
    <row r="19" spans="1:39">
      <c r="A19">
        <v>376</v>
      </c>
      <c r="B19">
        <v>0.16400000000000001</v>
      </c>
      <c r="C19">
        <f t="shared" si="39"/>
        <v>8.5315408479834539E-4</v>
      </c>
      <c r="D19">
        <f t="shared" si="40"/>
        <v>2.559462254395036E-3</v>
      </c>
      <c r="E19">
        <f t="shared" si="19"/>
        <v>9.0930365615627964E-2</v>
      </c>
      <c r="F19">
        <f t="shared" si="20"/>
        <v>0.36230552320427839</v>
      </c>
      <c r="H19">
        <v>0.20549999999999999</v>
      </c>
      <c r="I19">
        <f t="shared" si="41"/>
        <v>1.0677352637021716E-3</v>
      </c>
      <c r="J19">
        <f t="shared" si="42"/>
        <v>3.2032057911065147E-3</v>
      </c>
      <c r="K19">
        <f t="shared" si="4"/>
        <v>0.11380073030077076</v>
      </c>
      <c r="L19">
        <f t="shared" si="21"/>
        <v>0.63222627944872645</v>
      </c>
      <c r="N19">
        <v>0.18149999999999999</v>
      </c>
      <c r="O19">
        <f t="shared" si="43"/>
        <v>9.4364012409513958E-4</v>
      </c>
      <c r="P19">
        <f t="shared" si="44"/>
        <v>2.8309203722854184E-3</v>
      </c>
      <c r="Q19">
        <f t="shared" si="7"/>
        <v>0.10057449530213396</v>
      </c>
      <c r="R19">
        <f t="shared" si="22"/>
        <v>0.57879809331086962</v>
      </c>
      <c r="S19" s="3">
        <f t="shared" si="8"/>
        <v>0.5244432986546248</v>
      </c>
      <c r="T19">
        <v>4.19E-2</v>
      </c>
      <c r="U19">
        <f t="shared" si="45"/>
        <v>2.2182006204756979E-4</v>
      </c>
      <c r="V19">
        <f t="shared" si="46"/>
        <v>6.654601861427092E-4</v>
      </c>
      <c r="W19">
        <f t="shared" si="11"/>
        <v>2.3641895060063266E-2</v>
      </c>
      <c r="X19">
        <f t="shared" si="23"/>
        <v>0.15375284046872451</v>
      </c>
      <c r="Z19">
        <v>3.1699999999999999E-2</v>
      </c>
      <c r="AA19">
        <f t="shared" si="47"/>
        <v>1.6907962771458117E-4</v>
      </c>
      <c r="AB19">
        <f t="shared" si="48"/>
        <v>5.0723888314374349E-4</v>
      </c>
      <c r="AC19">
        <f t="shared" si="14"/>
        <v>1.8020745185642631E-2</v>
      </c>
      <c r="AD19">
        <f t="shared" si="24"/>
        <v>0.1747519700226744</v>
      </c>
      <c r="AF19">
        <v>4.1399999999999999E-2</v>
      </c>
      <c r="AG19">
        <f t="shared" si="49"/>
        <v>2.1923474663908997E-4</v>
      </c>
      <c r="AH19">
        <f t="shared" si="50"/>
        <v>6.5770423991726981E-4</v>
      </c>
      <c r="AI19">
        <f t="shared" si="25"/>
        <v>2.3366348497591668E-2</v>
      </c>
      <c r="AJ19">
        <f t="shared" si="26"/>
        <v>0.15817395122821298</v>
      </c>
      <c r="AK19" s="3">
        <f t="shared" si="17"/>
        <v>0.1622262539065373</v>
      </c>
      <c r="AL19">
        <v>17</v>
      </c>
      <c r="AM19">
        <f t="shared" si="18"/>
        <v>2.251799813685252E-2</v>
      </c>
    </row>
    <row r="20" spans="1:39">
      <c r="A20">
        <v>408.5</v>
      </c>
      <c r="B20">
        <v>0.1426</v>
      </c>
      <c r="C20">
        <f t="shared" si="39"/>
        <v>7.4250258531540847E-4</v>
      </c>
      <c r="D20">
        <f t="shared" si="40"/>
        <v>2.2275077559462254E-3</v>
      </c>
      <c r="E20">
        <f t="shared" si="19"/>
        <v>9.8921215927304365E-2</v>
      </c>
      <c r="F20">
        <f t="shared" si="20"/>
        <v>0.39414449342526048</v>
      </c>
      <c r="H20">
        <f>(0.1653+0.1644)/2</f>
        <v>0.16485</v>
      </c>
      <c r="I20">
        <f t="shared" si="41"/>
        <v>8.5754912099276104E-4</v>
      </c>
      <c r="J20">
        <f t="shared" si="42"/>
        <v>2.5726473629782828E-3</v>
      </c>
      <c r="K20">
        <f t="shared" si="4"/>
        <v>0.11424849346478708</v>
      </c>
      <c r="L20">
        <f t="shared" si="21"/>
        <v>0.63471385258215041</v>
      </c>
      <c r="N20">
        <f>0.1536</f>
        <v>0.15359999999999999</v>
      </c>
      <c r="O20">
        <f t="shared" si="43"/>
        <v>7.9937952430196471E-4</v>
      </c>
      <c r="P20">
        <f t="shared" si="44"/>
        <v>2.3981385729058939E-3</v>
      </c>
      <c r="Q20">
        <f t="shared" si="7"/>
        <v>0.10649874639527333</v>
      </c>
      <c r="R20">
        <f t="shared" si="22"/>
        <v>0.61289167962918101</v>
      </c>
      <c r="S20" s="3">
        <f t="shared" si="8"/>
        <v>0.54725000854553063</v>
      </c>
      <c r="T20">
        <v>3.4500000000000003E-2</v>
      </c>
      <c r="U20">
        <f t="shared" si="45"/>
        <v>1.8355739400206827E-4</v>
      </c>
      <c r="V20">
        <f t="shared" si="46"/>
        <v>5.5067218200620469E-4</v>
      </c>
      <c r="W20">
        <f t="shared" si="11"/>
        <v>2.4454757419354489E-2</v>
      </c>
      <c r="X20">
        <f t="shared" si="23"/>
        <v>0.15375284046872451</v>
      </c>
      <c r="Z20">
        <v>2.5700000000000001E-2</v>
      </c>
      <c r="AA20">
        <f t="shared" si="47"/>
        <v>1.3805584281282316E-4</v>
      </c>
      <c r="AB20">
        <f t="shared" si="48"/>
        <v>4.1416752843846942E-4</v>
      </c>
      <c r="AC20">
        <f t="shared" si="14"/>
        <v>1.8392733044979289E-2</v>
      </c>
      <c r="AD20">
        <f t="shared" si="24"/>
        <v>0.1747519700226744</v>
      </c>
      <c r="AF20">
        <v>3.4099999999999998E-2</v>
      </c>
      <c r="AG20">
        <f t="shared" si="49"/>
        <v>1.8148914167528439E-4</v>
      </c>
      <c r="AH20">
        <f t="shared" si="50"/>
        <v>5.4446742502585314E-4</v>
      </c>
      <c r="AI20">
        <f t="shared" si="25"/>
        <v>2.4179210856882891E-2</v>
      </c>
      <c r="AJ20">
        <f t="shared" si="26"/>
        <v>0.15817395122821298</v>
      </c>
      <c r="AK20" s="3">
        <f t="shared" si="17"/>
        <v>0.1622262539065373</v>
      </c>
      <c r="AL20">
        <v>18</v>
      </c>
      <c r="AM20">
        <f t="shared" si="18"/>
        <v>1.8014398509482017E-2</v>
      </c>
    </row>
    <row r="21" spans="1:39">
      <c r="A21">
        <v>452</v>
      </c>
      <c r="B21">
        <v>9.7199999999999995E-2</v>
      </c>
      <c r="C21">
        <f t="shared" si="39"/>
        <v>5.0775594622543951E-4</v>
      </c>
      <c r="D21">
        <f t="shared" si="40"/>
        <v>1.5232678386763183E-3</v>
      </c>
      <c r="E21">
        <f t="shared" si="19"/>
        <v>8.45583513584722E-2</v>
      </c>
      <c r="F21">
        <f t="shared" si="20"/>
        <v>0.39414449342526048</v>
      </c>
      <c r="H21">
        <v>0.1235</v>
      </c>
      <c r="I21">
        <f t="shared" si="41"/>
        <v>6.4374353671147876E-4</v>
      </c>
      <c r="J21">
        <f t="shared" si="42"/>
        <v>1.9312306101344362E-3</v>
      </c>
      <c r="K21">
        <f t="shared" si="4"/>
        <v>0.10720483446160682</v>
      </c>
      <c r="L21">
        <f t="shared" si="21"/>
        <v>0.63471385258215041</v>
      </c>
      <c r="N21">
        <v>0.11840000000000001</v>
      </c>
      <c r="O21">
        <f t="shared" si="43"/>
        <v>6.1737331954498449E-4</v>
      </c>
      <c r="P21">
        <f t="shared" si="44"/>
        <v>1.8521199586349533E-3</v>
      </c>
      <c r="Q21">
        <f t="shared" si="7"/>
        <v>0.1028133111222157</v>
      </c>
      <c r="R21">
        <f t="shared" si="22"/>
        <v>0.61289167962918101</v>
      </c>
      <c r="S21" s="3">
        <f t="shared" si="8"/>
        <v>0.54725000854553063</v>
      </c>
      <c r="T21">
        <v>3.0099999999999998E-2</v>
      </c>
      <c r="U21">
        <f t="shared" si="45"/>
        <v>1.6080661840744569E-4</v>
      </c>
      <c r="V21">
        <f t="shared" si="46"/>
        <v>4.8241985522233706E-4</v>
      </c>
      <c r="W21">
        <f t="shared" si="11"/>
        <v>2.677968154020861E-2</v>
      </c>
      <c r="X21">
        <f t="shared" si="23"/>
        <v>0.15375284046872451</v>
      </c>
      <c r="Z21">
        <v>0.02</v>
      </c>
      <c r="AA21">
        <f t="shared" si="47"/>
        <v>1.0858324715615306E-4</v>
      </c>
      <c r="AB21">
        <f t="shared" si="48"/>
        <v>3.2574974146845913E-4</v>
      </c>
      <c r="AC21">
        <f t="shared" si="14"/>
        <v>1.8082743162198742E-2</v>
      </c>
      <c r="AD21">
        <f t="shared" si="24"/>
        <v>0.1747519700226744</v>
      </c>
      <c r="AF21">
        <v>2.3900000000000001E-2</v>
      </c>
      <c r="AG21">
        <f t="shared" si="49"/>
        <v>1.2874870734229577E-4</v>
      </c>
      <c r="AH21">
        <f t="shared" si="50"/>
        <v>3.8624612202688732E-4</v>
      </c>
      <c r="AI21">
        <f t="shared" si="25"/>
        <v>2.1440966892321368E-2</v>
      </c>
      <c r="AJ21">
        <f t="shared" si="26"/>
        <v>0.15817395122821298</v>
      </c>
      <c r="AK21" s="3">
        <f t="shared" si="17"/>
        <v>0.1622262539065373</v>
      </c>
      <c r="AL21">
        <v>19</v>
      </c>
      <c r="AM21">
        <f t="shared" si="18"/>
        <v>1.4411518807585615E-2</v>
      </c>
    </row>
    <row r="22" spans="1:39">
      <c r="A22">
        <v>500</v>
      </c>
      <c r="B22">
        <v>9.1310000000000002E-2</v>
      </c>
      <c r="C22">
        <f t="shared" si="39"/>
        <v>4.7730093071354703E-4</v>
      </c>
      <c r="D22">
        <f t="shared" si="40"/>
        <v>1.4319027921406409E-3</v>
      </c>
      <c r="E22">
        <f t="shared" si="19"/>
        <v>9.9358215553724136E-2</v>
      </c>
      <c r="F22">
        <f t="shared" si="20"/>
        <v>0.39588568710922029</v>
      </c>
      <c r="H22">
        <v>0.11650000000000001</v>
      </c>
      <c r="I22">
        <f t="shared" si="41"/>
        <v>6.0754912099276115E-4</v>
      </c>
      <c r="J22">
        <f t="shared" si="42"/>
        <v>1.8226473629782832E-3</v>
      </c>
      <c r="K22">
        <f t="shared" si="4"/>
        <v>0.1264715667594257</v>
      </c>
      <c r="L22">
        <f t="shared" si="21"/>
        <v>0.70261981533014284</v>
      </c>
      <c r="N22">
        <v>0.1132</v>
      </c>
      <c r="O22">
        <f t="shared" si="43"/>
        <v>5.9048603929679421E-4</v>
      </c>
      <c r="P22">
        <f t="shared" si="44"/>
        <v>1.7714581178903824E-3</v>
      </c>
      <c r="Q22">
        <f t="shared" si="7"/>
        <v>0.12291959935256523</v>
      </c>
      <c r="R22">
        <f t="shared" si="22"/>
        <v>0.70739236147368678</v>
      </c>
      <c r="S22" s="3">
        <f t="shared" si="8"/>
        <v>0.60196595463768332</v>
      </c>
      <c r="T22">
        <v>2.8709999999999999E-2</v>
      </c>
      <c r="U22">
        <f t="shared" si="45"/>
        <v>1.5361944157187175E-4</v>
      </c>
      <c r="V22">
        <f t="shared" si="46"/>
        <v>4.6085832471561521E-4</v>
      </c>
      <c r="W22">
        <f t="shared" si="11"/>
        <v>3.197847019934074E-2</v>
      </c>
      <c r="X22">
        <f t="shared" si="23"/>
        <v>0.15375284046872451</v>
      </c>
      <c r="Z22">
        <v>1.7500000000000002E-2</v>
      </c>
      <c r="AA22">
        <f t="shared" si="47"/>
        <v>9.5656670113753882E-5</v>
      </c>
      <c r="AB22">
        <f t="shared" si="48"/>
        <v>2.8697001034126165E-4</v>
      </c>
      <c r="AC22">
        <f t="shared" si="14"/>
        <v>1.9912544553611709E-2</v>
      </c>
      <c r="AD22">
        <f t="shared" si="24"/>
        <v>0.1747519700226744</v>
      </c>
      <c r="AF22">
        <v>2.0129999999999999E-2</v>
      </c>
      <c r="AG22">
        <f t="shared" si="49"/>
        <v>1.092554291623578E-4</v>
      </c>
      <c r="AH22">
        <f t="shared" si="50"/>
        <v>3.2776628748707338E-4</v>
      </c>
      <c r="AI22">
        <f t="shared" si="25"/>
        <v>2.2743354941503532E-2</v>
      </c>
      <c r="AJ22">
        <f t="shared" si="26"/>
        <v>0.15817395122821298</v>
      </c>
      <c r="AK22" s="3">
        <f t="shared" si="17"/>
        <v>0.1622262539065373</v>
      </c>
      <c r="AL22">
        <v>20</v>
      </c>
      <c r="AM22">
        <f t="shared" si="18"/>
        <v>1.1529215046068495E-2</v>
      </c>
    </row>
    <row r="23" spans="1:39">
      <c r="A23">
        <v>548</v>
      </c>
      <c r="B23">
        <v>8.7919999999999998E-2</v>
      </c>
      <c r="C23">
        <f t="shared" si="39"/>
        <v>4.5977249224405373E-4</v>
      </c>
      <c r="D23">
        <f t="shared" si="40"/>
        <v>1.379317476732161E-3</v>
      </c>
      <c r="E23">
        <f t="shared" si="19"/>
        <v>0.1196367203856184</v>
      </c>
      <c r="F23">
        <f t="shared" si="20"/>
        <v>0.47668393589199243</v>
      </c>
      <c r="H23">
        <v>0.1011</v>
      </c>
      <c r="I23">
        <f t="shared" si="41"/>
        <v>5.2792140641158222E-4</v>
      </c>
      <c r="J23">
        <f t="shared" si="42"/>
        <v>1.5837642192347463E-3</v>
      </c>
      <c r="K23">
        <f t="shared" si="4"/>
        <v>0.13736964857592934</v>
      </c>
      <c r="L23">
        <f t="shared" si="21"/>
        <v>0.76316471431071864</v>
      </c>
      <c r="N23">
        <v>0.10539999999999999</v>
      </c>
      <c r="O23">
        <f t="shared" si="43"/>
        <v>5.5015511892450878E-4</v>
      </c>
      <c r="P23">
        <f t="shared" si="44"/>
        <v>1.6504653567735261E-3</v>
      </c>
      <c r="Q23">
        <f t="shared" si="7"/>
        <v>0.14315505003407331</v>
      </c>
      <c r="R23">
        <f t="shared" si="22"/>
        <v>0.82384574497373309</v>
      </c>
      <c r="S23" s="3">
        <f t="shared" si="8"/>
        <v>0.68789813172548142</v>
      </c>
      <c r="T23">
        <v>2.7099999999999999E-2</v>
      </c>
      <c r="U23">
        <f t="shared" si="45"/>
        <v>1.4529472595656669E-4</v>
      </c>
      <c r="V23">
        <f t="shared" si="46"/>
        <v>4.3588417786970008E-4</v>
      </c>
      <c r="W23">
        <f t="shared" si="11"/>
        <v>3.7806925807870866E-2</v>
      </c>
      <c r="X23">
        <f t="shared" si="23"/>
        <v>0.18003298003748031</v>
      </c>
      <c r="Z23">
        <v>1.32E-2</v>
      </c>
      <c r="AA23">
        <f t="shared" si="47"/>
        <v>7.3422957600827304E-5</v>
      </c>
      <c r="AB23">
        <f t="shared" si="48"/>
        <v>2.202688728024819E-4</v>
      </c>
      <c r="AC23">
        <f t="shared" si="14"/>
        <v>1.9105279233870686E-2</v>
      </c>
      <c r="AD23">
        <f t="shared" si="24"/>
        <v>0.1747519700226744</v>
      </c>
      <c r="AF23">
        <v>1.8540000000000001E-2</v>
      </c>
      <c r="AG23">
        <f t="shared" si="49"/>
        <v>1.0103412616339194E-4</v>
      </c>
      <c r="AH23">
        <f t="shared" si="50"/>
        <v>3.031023784901758E-4</v>
      </c>
      <c r="AI23">
        <f t="shared" si="25"/>
        <v>2.628994057956572E-2</v>
      </c>
      <c r="AJ23">
        <f t="shared" si="26"/>
        <v>0.15817395122821298</v>
      </c>
      <c r="AK23" s="3">
        <f t="shared" si="17"/>
        <v>0.17098630042945592</v>
      </c>
      <c r="AL23">
        <v>21</v>
      </c>
      <c r="AM23">
        <f t="shared" si="18"/>
        <v>9.2233720368547975E-3</v>
      </c>
    </row>
    <row r="24" spans="1:39">
      <c r="A24">
        <v>620</v>
      </c>
      <c r="B24">
        <v>7.4319999999999997E-2</v>
      </c>
      <c r="C24">
        <f t="shared" si="39"/>
        <v>3.8945191313340225E-4</v>
      </c>
      <c r="D24">
        <f t="shared" si="40"/>
        <v>1.1683557394002067E-3</v>
      </c>
      <c r="E24">
        <f t="shared" si="19"/>
        <v>0.12667338308936091</v>
      </c>
      <c r="F24">
        <f t="shared" si="20"/>
        <v>0.50472101399270231</v>
      </c>
      <c r="H24">
        <v>6.4199999999999993E-2</v>
      </c>
      <c r="I24">
        <f t="shared" si="41"/>
        <v>3.3712512926577036E-4</v>
      </c>
      <c r="J24">
        <f t="shared" si="42"/>
        <v>1.0113753877973111E-3</v>
      </c>
      <c r="K24">
        <f t="shared" si="4"/>
        <v>0.10965353926482116</v>
      </c>
      <c r="L24">
        <f t="shared" si="21"/>
        <v>0.76316471431071864</v>
      </c>
      <c r="N24">
        <v>8.7599999999999997E-2</v>
      </c>
      <c r="O24">
        <f t="shared" si="43"/>
        <v>4.5811789038262664E-4</v>
      </c>
      <c r="P24">
        <f t="shared" si="44"/>
        <v>1.3743536711478799E-3</v>
      </c>
      <c r="Q24">
        <f t="shared" si="7"/>
        <v>0.14900772360219564</v>
      </c>
      <c r="R24">
        <f t="shared" si="22"/>
        <v>0.85752740841955755</v>
      </c>
      <c r="S24" s="3">
        <f t="shared" si="8"/>
        <v>0.70847104557432605</v>
      </c>
      <c r="T24">
        <v>2.0299999999999999E-2</v>
      </c>
      <c r="U24">
        <f t="shared" si="45"/>
        <v>1.1013443640124095E-4</v>
      </c>
      <c r="V24">
        <f t="shared" si="46"/>
        <v>3.3040330920372279E-4</v>
      </c>
      <c r="W24">
        <f t="shared" si="11"/>
        <v>3.5822398563507531E-2</v>
      </c>
      <c r="X24">
        <f t="shared" si="23"/>
        <v>0.18003298003748031</v>
      </c>
      <c r="Z24">
        <v>1.17E-2</v>
      </c>
      <c r="AA24">
        <f t="shared" si="47"/>
        <v>6.5667011375387794E-5</v>
      </c>
      <c r="AB24">
        <f t="shared" si="48"/>
        <v>1.9700103412616338E-4</v>
      </c>
      <c r="AC24">
        <f t="shared" ref="AC24:AC29" si="51">IF(AB24-AB23&gt;0,AC23+(AB24-AB23*0.8)/AM23,AB24/AM23)</f>
        <v>2.1358894918147683E-2</v>
      </c>
      <c r="AD24">
        <f t="shared" si="24"/>
        <v>0.1747519700226744</v>
      </c>
      <c r="AF24">
        <v>1.5820000000000001E-2</v>
      </c>
      <c r="AG24">
        <f t="shared" si="49"/>
        <v>8.6970010341261636E-5</v>
      </c>
      <c r="AH24">
        <f t="shared" si="50"/>
        <v>2.6091003102378488E-4</v>
      </c>
      <c r="AI24">
        <f t="shared" si="25"/>
        <v>2.8287922245924725E-2</v>
      </c>
      <c r="AJ24">
        <f t="shared" si="26"/>
        <v>0.15817395122821298</v>
      </c>
      <c r="AK24" s="3">
        <f t="shared" si="17"/>
        <v>0.17098630042945592</v>
      </c>
      <c r="AL24">
        <v>22</v>
      </c>
      <c r="AM24">
        <f t="shared" si="18"/>
        <v>7.3786976294838375E-3</v>
      </c>
    </row>
    <row r="25" spans="1:39">
      <c r="A25">
        <v>716</v>
      </c>
      <c r="B25">
        <v>7.1400000000000005E-2</v>
      </c>
      <c r="C25">
        <f t="shared" si="39"/>
        <v>3.7435367114788007E-4</v>
      </c>
      <c r="D25">
        <f t="shared" si="40"/>
        <v>1.1230610134436401E-3</v>
      </c>
      <c r="E25">
        <f t="shared" si="19"/>
        <v>0.15220314882617053</v>
      </c>
      <c r="F25">
        <f t="shared" si="20"/>
        <v>0.60644253540015358</v>
      </c>
      <c r="H25">
        <v>5.8700000000000002E-2</v>
      </c>
      <c r="I25">
        <f t="shared" si="41"/>
        <v>3.0868665977249225E-4</v>
      </c>
      <c r="J25">
        <f t="shared" si="42"/>
        <v>9.2605997931747663E-4</v>
      </c>
      <c r="K25">
        <f t="shared" si="4"/>
        <v>0.1255045301784859</v>
      </c>
      <c r="L25">
        <f t="shared" si="21"/>
        <v>0.76316471431071864</v>
      </c>
      <c r="N25">
        <v>7.4200000000000002E-2</v>
      </c>
      <c r="O25">
        <f t="shared" si="43"/>
        <v>3.8883143743536714E-4</v>
      </c>
      <c r="P25">
        <f t="shared" si="44"/>
        <v>1.1664943123061012E-3</v>
      </c>
      <c r="Q25">
        <f t="shared" si="7"/>
        <v>0.15808945844928207</v>
      </c>
      <c r="R25">
        <f t="shared" si="22"/>
        <v>0.90979205859411305</v>
      </c>
      <c r="S25" s="3">
        <f t="shared" si="8"/>
        <v>0.75979976943499505</v>
      </c>
      <c r="T25">
        <v>1.8599999999999998E-2</v>
      </c>
      <c r="U25">
        <f t="shared" si="45"/>
        <v>1.0134436401240951E-4</v>
      </c>
      <c r="V25">
        <f t="shared" si="46"/>
        <v>3.0403309203722853E-4</v>
      </c>
      <c r="W25">
        <f t="shared" si="11"/>
        <v>4.1204167361780966E-2</v>
      </c>
      <c r="X25">
        <f t="shared" si="23"/>
        <v>0.19621032077038555</v>
      </c>
      <c r="Z25">
        <v>8.6999999999999994E-3</v>
      </c>
      <c r="AA25">
        <f t="shared" si="47"/>
        <v>5.0155118924508787E-5</v>
      </c>
      <c r="AB25">
        <f t="shared" si="48"/>
        <v>1.5046535677352635E-4</v>
      </c>
      <c r="AC25">
        <f t="shared" si="51"/>
        <v>2.0391858337207927E-2</v>
      </c>
      <c r="AD25">
        <f t="shared" si="24"/>
        <v>0.1747519700226744</v>
      </c>
      <c r="AF25">
        <v>1.5193E-2</v>
      </c>
      <c r="AG25">
        <f t="shared" si="49"/>
        <v>8.3728024819027918E-5</v>
      </c>
      <c r="AH25">
        <f t="shared" si="50"/>
        <v>2.5118407445708373E-4</v>
      </c>
      <c r="AI25">
        <f t="shared" si="25"/>
        <v>3.404178990251628E-2</v>
      </c>
      <c r="AJ25">
        <f t="shared" si="26"/>
        <v>0.18912105501397933</v>
      </c>
      <c r="AK25" s="3">
        <f t="shared" si="17"/>
        <v>0.18669444860234644</v>
      </c>
      <c r="AL25">
        <v>23</v>
      </c>
      <c r="AM25">
        <f t="shared" si="18"/>
        <v>5.902958103587071E-3</v>
      </c>
    </row>
    <row r="26" spans="1:39">
      <c r="A26">
        <v>788</v>
      </c>
      <c r="B26">
        <v>6.5210000000000004E-2</v>
      </c>
      <c r="C26">
        <f t="shared" si="39"/>
        <v>3.423474663908997E-4</v>
      </c>
      <c r="D26">
        <f t="shared" si="40"/>
        <v>1.0270423991726992E-3</v>
      </c>
      <c r="E26">
        <f>IF(D26-D25&gt;0,E25+(D26-D25*0.8)/AM25,D26/AM25)</f>
        <v>0.17398775006527537</v>
      </c>
      <c r="F26">
        <f t="shared" si="20"/>
        <v>0.69324171734882867</v>
      </c>
      <c r="H26">
        <v>4.9399999999999999E-2</v>
      </c>
      <c r="I26">
        <f t="shared" si="41"/>
        <v>2.6059979317476732E-4</v>
      </c>
      <c r="J26">
        <f t="shared" si="42"/>
        <v>7.8179937952430197E-4</v>
      </c>
      <c r="K26">
        <f t="shared" si="4"/>
        <v>0.13244196652001022</v>
      </c>
      <c r="L26">
        <f t="shared" si="21"/>
        <v>0.76316471431071864</v>
      </c>
      <c r="N26">
        <v>6.1400000000000003E-2</v>
      </c>
      <c r="O26">
        <f t="shared" si="43"/>
        <v>3.2264736297828335E-4</v>
      </c>
      <c r="P26">
        <f t="shared" si="44"/>
        <v>9.6794208893484989E-4</v>
      </c>
      <c r="Q26">
        <f t="shared" si="7"/>
        <v>0.16397576807239359</v>
      </c>
      <c r="R26">
        <f t="shared" si="22"/>
        <v>0.94366729481836165</v>
      </c>
      <c r="S26" s="3">
        <f t="shared" si="8"/>
        <v>0.80002457549263628</v>
      </c>
      <c r="T26">
        <v>1.4919999999999999E-2</v>
      </c>
      <c r="U26">
        <f t="shared" si="45"/>
        <v>8.231644260599793E-5</v>
      </c>
      <c r="V26">
        <f t="shared" si="46"/>
        <v>2.4694932781799378E-4</v>
      </c>
      <c r="W26">
        <f t="shared" si="11"/>
        <v>4.1834843392828627E-2</v>
      </c>
      <c r="X26">
        <f t="shared" si="23"/>
        <v>0.19921353996585062</v>
      </c>
      <c r="Z26">
        <v>7.9000000000000008E-3</v>
      </c>
      <c r="AA26">
        <f t="shared" si="47"/>
        <v>4.6018614270941064E-5</v>
      </c>
      <c r="AB26">
        <f t="shared" si="48"/>
        <v>1.3805584281282319E-4</v>
      </c>
      <c r="AC26">
        <f t="shared" si="51"/>
        <v>2.3387569484684352E-2</v>
      </c>
      <c r="AD26">
        <f t="shared" si="24"/>
        <v>0.1747519700226744</v>
      </c>
      <c r="AF26">
        <v>1.04E-2</v>
      </c>
      <c r="AG26">
        <f t="shared" si="49"/>
        <v>5.894519131334023E-5</v>
      </c>
      <c r="AH26">
        <f t="shared" si="50"/>
        <v>1.7683557394002067E-4</v>
      </c>
      <c r="AI26">
        <f t="shared" si="25"/>
        <v>2.9957111474764216E-2</v>
      </c>
      <c r="AJ26">
        <f t="shared" si="26"/>
        <v>0.18912105501397933</v>
      </c>
      <c r="AK26" s="3">
        <f t="shared" si="17"/>
        <v>0.18769552166750145</v>
      </c>
      <c r="AL26">
        <v>24</v>
      </c>
      <c r="AM26">
        <f t="shared" si="18"/>
        <v>4.722366482869657E-3</v>
      </c>
    </row>
    <row r="27" spans="1:39">
      <c r="A27">
        <v>860</v>
      </c>
      <c r="B27">
        <v>6.062E-2</v>
      </c>
      <c r="C27">
        <f t="shared" si="39"/>
        <v>3.186142709410548E-4</v>
      </c>
      <c r="D27">
        <f t="shared" si="40"/>
        <v>9.5584281282316429E-4</v>
      </c>
      <c r="E27">
        <f t="shared" ref="E27:E29" si="52">IF(D27-D26&gt;0,E26+(D27-D26*0.8)/AM26,D27/AM26)</f>
        <v>0.20240758871436085</v>
      </c>
      <c r="F27">
        <f t="shared" si="20"/>
        <v>0.80647852709248635</v>
      </c>
      <c r="H27">
        <v>3.9980000000000002E-2</v>
      </c>
      <c r="I27">
        <f t="shared" si="41"/>
        <v>2.1189245087900724E-4</v>
      </c>
      <c r="J27">
        <f t="shared" si="42"/>
        <v>6.3567735263702165E-4</v>
      </c>
      <c r="K27">
        <f t="shared" si="4"/>
        <v>0.13460991537673658</v>
      </c>
      <c r="L27">
        <f t="shared" si="21"/>
        <v>0.76316471431071864</v>
      </c>
      <c r="N27">
        <v>5.1900000000000002E-2</v>
      </c>
      <c r="O27">
        <f t="shared" si="43"/>
        <v>2.735263702171665E-4</v>
      </c>
      <c r="P27">
        <f t="shared" si="44"/>
        <v>8.2057911065149946E-4</v>
      </c>
      <c r="Q27">
        <f t="shared" si="7"/>
        <v>0.17376438563761262</v>
      </c>
      <c r="R27">
        <f t="shared" si="22"/>
        <v>0.99999999791449001</v>
      </c>
      <c r="S27" s="3">
        <f t="shared" si="8"/>
        <v>0.85654774643923171</v>
      </c>
      <c r="T27">
        <v>1.1039999999999999E-2</v>
      </c>
      <c r="U27">
        <f t="shared" si="45"/>
        <v>6.2254395036194407E-5</v>
      </c>
      <c r="V27">
        <f t="shared" si="46"/>
        <v>1.8676318510858322E-4</v>
      </c>
      <c r="W27">
        <f t="shared" si="11"/>
        <v>3.9548642780280828E-2</v>
      </c>
      <c r="X27">
        <f t="shared" si="23"/>
        <v>0.19921353996585062</v>
      </c>
      <c r="Z27">
        <v>6.8999999999999999E-3</v>
      </c>
      <c r="AA27">
        <f t="shared" si="47"/>
        <v>4.0847983453981389E-5</v>
      </c>
      <c r="AB27">
        <f t="shared" si="48"/>
        <v>1.2254395036194417E-4</v>
      </c>
      <c r="AC27">
        <f t="shared" si="51"/>
        <v>2.59496908608155E-2</v>
      </c>
      <c r="AD27">
        <f t="shared" si="24"/>
        <v>0.18535493472011069</v>
      </c>
      <c r="AF27">
        <v>9.5999999999999992E-3</v>
      </c>
      <c r="AG27">
        <f t="shared" si="49"/>
        <v>5.480868665977248E-5</v>
      </c>
      <c r="AH27">
        <f t="shared" si="50"/>
        <v>1.6442605997931743E-4</v>
      </c>
      <c r="AI27">
        <f t="shared" si="25"/>
        <v>3.4818572547423314E-2</v>
      </c>
      <c r="AJ27">
        <f t="shared" si="26"/>
        <v>0.19343651415235175</v>
      </c>
      <c r="AK27" s="3">
        <f t="shared" si="17"/>
        <v>0.19266832961277103</v>
      </c>
      <c r="AL27">
        <v>25</v>
      </c>
      <c r="AM27">
        <f t="shared" si="18"/>
        <v>3.7778931862957259E-3</v>
      </c>
    </row>
    <row r="28" spans="1:39">
      <c r="A28">
        <v>956</v>
      </c>
      <c r="B28">
        <v>5.8400000000000001E-2</v>
      </c>
      <c r="C28">
        <f t="shared" si="39"/>
        <v>3.0713547052740436E-4</v>
      </c>
      <c r="D28">
        <f t="shared" si="40"/>
        <v>9.2140641158221302E-4</v>
      </c>
      <c r="E28">
        <f t="shared" si="52"/>
        <v>0.24389424638171525</v>
      </c>
      <c r="F28">
        <f t="shared" si="20"/>
        <v>0.97177914048388692</v>
      </c>
      <c r="H28">
        <v>3.968E-2</v>
      </c>
      <c r="I28">
        <f t="shared" si="41"/>
        <v>2.1034126163391935E-4</v>
      </c>
      <c r="J28">
        <f t="shared" si="42"/>
        <v>6.3102378490175793E-4</v>
      </c>
      <c r="K28">
        <f t="shared" si="4"/>
        <v>0.16703060509778073</v>
      </c>
      <c r="L28">
        <f t="shared" si="21"/>
        <v>0.9279478060987818</v>
      </c>
      <c r="N28">
        <v>4.1029999999999997E-2</v>
      </c>
      <c r="O28">
        <f t="shared" si="43"/>
        <v>2.1732161323681487E-4</v>
      </c>
      <c r="P28">
        <f t="shared" si="44"/>
        <v>6.5196483971044462E-4</v>
      </c>
      <c r="Q28">
        <f t="shared" si="7"/>
        <v>0.17257365615191061</v>
      </c>
      <c r="R28">
        <f t="shared" si="22"/>
        <v>0.99999999791449001</v>
      </c>
      <c r="S28" s="3">
        <f t="shared" si="8"/>
        <v>0.96657564816571961</v>
      </c>
      <c r="T28">
        <v>1.1560000000000001E-2</v>
      </c>
      <c r="U28">
        <f t="shared" si="45"/>
        <v>6.4943123061013451E-5</v>
      </c>
      <c r="V28">
        <f t="shared" si="46"/>
        <v>1.9482936918304035E-4</v>
      </c>
      <c r="W28">
        <f t="shared" si="11"/>
        <v>5.1570904622127003E-2</v>
      </c>
      <c r="X28">
        <f t="shared" si="23"/>
        <v>0.24557573629584289</v>
      </c>
      <c r="Z28">
        <v>7.4999999999999997E-3</v>
      </c>
      <c r="AA28">
        <f t="shared" si="47"/>
        <v>4.3950361944157186E-5</v>
      </c>
      <c r="AB28">
        <f t="shared" si="48"/>
        <v>1.3185108583247155E-4</v>
      </c>
      <c r="AC28">
        <f t="shared" si="51"/>
        <v>3.4900691822299316E-2</v>
      </c>
      <c r="AD28">
        <f t="shared" si="24"/>
        <v>0.24929065587356652</v>
      </c>
      <c r="AF28">
        <v>8.3999999999999995E-3</v>
      </c>
      <c r="AG28">
        <f t="shared" si="49"/>
        <v>4.8603929679420878E-5</v>
      </c>
      <c r="AH28">
        <f t="shared" si="50"/>
        <v>1.4581178903826263E-4</v>
      </c>
      <c r="AI28">
        <f t="shared" si="25"/>
        <v>3.859605919171924E-2</v>
      </c>
      <c r="AJ28">
        <f t="shared" si="26"/>
        <v>0.21442255106510691</v>
      </c>
      <c r="AK28" s="3">
        <f t="shared" si="17"/>
        <v>0.23642964774483877</v>
      </c>
      <c r="AL28">
        <v>26</v>
      </c>
      <c r="AM28">
        <f t="shared" si="18"/>
        <v>3.0223145490365813E-3</v>
      </c>
    </row>
    <row r="29" spans="1:39">
      <c r="A29">
        <v>980</v>
      </c>
      <c r="B29">
        <v>4.7899999999999998E-2</v>
      </c>
      <c r="C29">
        <f t="shared" si="39"/>
        <v>2.5284384694932783E-4</v>
      </c>
      <c r="D29">
        <f t="shared" si="40"/>
        <v>7.5853154084798338E-4</v>
      </c>
      <c r="E29">
        <f t="shared" si="52"/>
        <v>0.25097703383977005</v>
      </c>
      <c r="F29">
        <f t="shared" si="20"/>
        <v>0.99999999936157524</v>
      </c>
      <c r="H29">
        <v>3.2132000000000001E-2</v>
      </c>
      <c r="I29">
        <f t="shared" si="41"/>
        <v>1.7131334022750777E-4</v>
      </c>
      <c r="J29">
        <f t="shared" si="42"/>
        <v>5.1394002068252324E-4</v>
      </c>
      <c r="K29">
        <f t="shared" si="4"/>
        <v>0.17004848844947365</v>
      </c>
      <c r="L29">
        <f t="shared" si="21"/>
        <v>0.9447138247192981</v>
      </c>
      <c r="N29">
        <v>3.0450000000000001E-2</v>
      </c>
      <c r="O29">
        <f t="shared" si="43"/>
        <v>1.6261633919338158E-4</v>
      </c>
      <c r="P29">
        <f t="shared" si="44"/>
        <v>4.8784901758014469E-4</v>
      </c>
      <c r="Q29">
        <f t="shared" si="7"/>
        <v>0.16141569967813429</v>
      </c>
      <c r="R29">
        <f t="shared" si="22"/>
        <v>0.99999999791449001</v>
      </c>
      <c r="S29" s="3">
        <f t="shared" si="8"/>
        <v>0.98157127399845445</v>
      </c>
      <c r="T29">
        <v>1.1560000000000001E-2</v>
      </c>
      <c r="U29">
        <f t="shared" si="45"/>
        <v>6.4943123061013451E-5</v>
      </c>
      <c r="V29">
        <f t="shared" si="46"/>
        <v>1.9482936918304035E-4</v>
      </c>
      <c r="W29">
        <f t="shared" si="11"/>
        <v>6.4463630777658737E-2</v>
      </c>
      <c r="X29">
        <f t="shared" si="23"/>
        <v>0.30696967036980349</v>
      </c>
      <c r="Z29">
        <v>6.6E-3</v>
      </c>
      <c r="AA29">
        <f t="shared" si="47"/>
        <v>3.9296794208893487E-5</v>
      </c>
      <c r="AB29">
        <f t="shared" si="48"/>
        <v>1.1789038262668045E-4</v>
      </c>
      <c r="AC29">
        <f t="shared" si="51"/>
        <v>3.9006655566099231E-2</v>
      </c>
      <c r="AD29">
        <f t="shared" si="24"/>
        <v>0.27861896832928018</v>
      </c>
      <c r="AF29">
        <v>7.3000000000000001E-3</v>
      </c>
      <c r="AG29">
        <f t="shared" si="49"/>
        <v>4.2916235780765253E-5</v>
      </c>
      <c r="AH29">
        <f t="shared" si="50"/>
        <v>1.2874870734229575E-4</v>
      </c>
      <c r="AI29">
        <f t="shared" si="25"/>
        <v>4.2599373841924158E-2</v>
      </c>
      <c r="AJ29">
        <f t="shared" si="26"/>
        <v>0.23666318801068978</v>
      </c>
      <c r="AK29" s="3">
        <f t="shared" si="17"/>
        <v>0.2740839422365911</v>
      </c>
      <c r="AL29">
        <v>27</v>
      </c>
      <c r="AM29">
        <f t="shared" si="18"/>
        <v>2.4178516392292649E-3</v>
      </c>
    </row>
    <row r="49" spans="2:37">
      <c r="B49" t="s">
        <v>24</v>
      </c>
      <c r="C49" t="s">
        <v>43</v>
      </c>
      <c r="D49" t="s">
        <v>27</v>
      </c>
      <c r="E49" t="s">
        <v>44</v>
      </c>
      <c r="G49" t="s">
        <v>45</v>
      </c>
      <c r="H49" t="s">
        <v>25</v>
      </c>
      <c r="I49" t="s">
        <v>26</v>
      </c>
      <c r="J49" t="s">
        <v>27</v>
      </c>
      <c r="K49" t="s">
        <v>28</v>
      </c>
      <c r="M49" t="s">
        <v>45</v>
      </c>
      <c r="N49" t="s">
        <v>29</v>
      </c>
      <c r="O49" t="s">
        <v>43</v>
      </c>
      <c r="P49" t="s">
        <v>27</v>
      </c>
      <c r="Q49" t="s">
        <v>46</v>
      </c>
      <c r="S49" s="3" t="s">
        <v>45</v>
      </c>
      <c r="T49" t="s">
        <v>31</v>
      </c>
      <c r="U49" t="s">
        <v>43</v>
      </c>
      <c r="V49" t="s">
        <v>27</v>
      </c>
      <c r="W49" t="s">
        <v>46</v>
      </c>
      <c r="Y49" t="s">
        <v>45</v>
      </c>
      <c r="Z49" t="s">
        <v>32</v>
      </c>
      <c r="AA49" t="s">
        <v>43</v>
      </c>
      <c r="AB49" t="s">
        <v>27</v>
      </c>
      <c r="AC49" t="s">
        <v>46</v>
      </c>
      <c r="AE49" t="s">
        <v>45</v>
      </c>
      <c r="AF49" t="s">
        <v>34</v>
      </c>
      <c r="AG49" t="s">
        <v>43</v>
      </c>
      <c r="AH49" t="s">
        <v>27</v>
      </c>
      <c r="AI49" t="s">
        <v>46</v>
      </c>
      <c r="AK49" s="3" t="s">
        <v>45</v>
      </c>
    </row>
    <row r="50" spans="2:37">
      <c r="C50">
        <v>2.5031439500579947E-3</v>
      </c>
      <c r="D50">
        <v>0.5</v>
      </c>
      <c r="E50">
        <f>F$50*D50^F$51</f>
        <v>3.052202950152595E-3</v>
      </c>
      <c r="F50">
        <v>5.028820069292529E-3</v>
      </c>
      <c r="G50">
        <f>(C50-E50)^2</f>
        <v>3.0146578558488225E-7</v>
      </c>
      <c r="I50">
        <v>3.7874870734229574E-3</v>
      </c>
      <c r="J50">
        <v>0.5</v>
      </c>
      <c r="K50">
        <f>L$50*J50^L$51</f>
        <v>1.559257187597159E-4</v>
      </c>
      <c r="L50">
        <v>3.8100925506702037E-4</v>
      </c>
      <c r="M50">
        <f>(I50-K50)^2</f>
        <v>1.3188237872683519E-5</v>
      </c>
      <c r="O50">
        <v>2.9592901433015107E-3</v>
      </c>
      <c r="P50">
        <v>0.5</v>
      </c>
      <c r="Q50">
        <f>R$50*P50^R$51</f>
        <v>1.6639657744418593E-3</v>
      </c>
      <c r="R50">
        <v>3.0970913007644946E-3</v>
      </c>
      <c r="S50" s="3">
        <f>(O50-Q50)^2</f>
        <v>1.6778652205616543E-6</v>
      </c>
      <c r="U50">
        <v>4.1254247303885352E-3</v>
      </c>
      <c r="V50">
        <v>0.5</v>
      </c>
      <c r="W50">
        <f>X$50*(V50^X$52)+X$51*(V50^(2*X$52))</f>
        <v>2.6181194595166324E-2</v>
      </c>
      <c r="X50">
        <v>3.1908246217366869E-2</v>
      </c>
      <c r="Y50">
        <f>(U50-W50)^2</f>
        <v>4.8645698432803994E-4</v>
      </c>
      <c r="AA50">
        <v>3.2187176835573928E-3</v>
      </c>
      <c r="AB50">
        <v>0.5</v>
      </c>
      <c r="AC50">
        <f>AD$50*AB50^AD$52+AD$51*(AB50^(2*AD$52))</f>
        <v>6.6516741516097294E-2</v>
      </c>
      <c r="AD50">
        <v>7.404221621144462E-2</v>
      </c>
      <c r="AE50">
        <f>(AA50-AC50)^2</f>
        <v>4.0066398211047903E-3</v>
      </c>
      <c r="AG50">
        <v>3.0635987590486033E-3</v>
      </c>
      <c r="AH50">
        <v>0.5</v>
      </c>
      <c r="AI50">
        <f>AJ$50*AH50^AJ$52+AJ$51*AH50^(2*AJ$52)</f>
        <v>3.3057198624567331E-2</v>
      </c>
      <c r="AJ50">
        <v>3.9154930575371949E-2</v>
      </c>
      <c r="AK50" s="3">
        <f>(AG50-AI50)^2</f>
        <v>8.9961603289284513E-4</v>
      </c>
    </row>
    <row r="51" spans="2:37">
      <c r="C51">
        <v>4.0173915247844368E-3</v>
      </c>
      <c r="D51">
        <v>1</v>
      </c>
      <c r="E51">
        <f t="shared" ref="E51:E71" si="53">F$50*D51^F$51</f>
        <v>5.028820069292529E-3</v>
      </c>
      <c r="F51">
        <v>0.72036904035417504</v>
      </c>
      <c r="G51">
        <f t="shared" ref="G51:G71" si="54">(C51-E51)^2</f>
        <v>1.0229877006457579E-6</v>
      </c>
      <c r="I51">
        <v>5.3429851775249901E-3</v>
      </c>
      <c r="J51">
        <v>1</v>
      </c>
      <c r="K51">
        <f t="shared" ref="K51:K65" si="55">L$50*J51^L$51</f>
        <v>3.8100925506702037E-4</v>
      </c>
      <c r="L51">
        <v>1.2889671333187691</v>
      </c>
      <c r="M51">
        <f t="shared" ref="M51:M65" si="56">(I51-K51)^2</f>
        <v>2.4621205055052619E-5</v>
      </c>
      <c r="O51">
        <v>5.144165746840108E-3</v>
      </c>
      <c r="P51">
        <v>1</v>
      </c>
      <c r="Q51">
        <f t="shared" ref="Q51:Q66" si="57">R$50*P51^R$51</f>
        <v>3.0970913007644946E-3</v>
      </c>
      <c r="R51">
        <v>0.89628815412646645</v>
      </c>
      <c r="S51" s="3">
        <f t="shared" ref="S51:S72" si="58">(O51-Q51)^2</f>
        <v>4.1905137877757789E-6</v>
      </c>
      <c r="U51">
        <v>4.1254247303885352E-3</v>
      </c>
      <c r="V51">
        <v>1</v>
      </c>
      <c r="W51">
        <f t="shared" ref="W51:W76" si="59">X$50*(V51^X$52)+X$51*(V51^(2*X$52))</f>
        <v>3.1908246217366869E-2</v>
      </c>
      <c r="X51">
        <v>0</v>
      </c>
      <c r="Y51">
        <f t="shared" ref="Y51:Y76" si="60">(U51-W51)^2</f>
        <v>7.7188516977730489E-4</v>
      </c>
      <c r="AA51">
        <v>4.3627197518097188E-3</v>
      </c>
      <c r="AB51">
        <v>1</v>
      </c>
      <c r="AC51">
        <f t="shared" ref="AC51:AC76" si="61">AD$50*AB51^AD$52+AD$51*(AB51^(2*AD$52))</f>
        <v>7.404221621144462E-2</v>
      </c>
      <c r="AD51">
        <v>0</v>
      </c>
      <c r="AE51">
        <f t="shared" ref="AE51:AE76" si="62">(AA51-AC51)^2</f>
        <v>4.8552322268682734E-3</v>
      </c>
      <c r="AG51">
        <v>3.813340227507755E-3</v>
      </c>
      <c r="AH51">
        <v>1</v>
      </c>
      <c r="AI51">
        <f t="shared" ref="AI51:AI76" si="63">AJ$50*AH51^AJ$52+AJ$51*AH51^(2*AJ$52)</f>
        <v>3.9154930575371949E-2</v>
      </c>
      <c r="AJ51">
        <v>0</v>
      </c>
      <c r="AK51" s="3">
        <f t="shared" ref="AK51:AK72" si="64">(AG51-AI51)^2</f>
        <v>1.2490280083162475E-3</v>
      </c>
    </row>
    <row r="52" spans="2:37">
      <c r="C52">
        <v>6.9435204478846373E-3</v>
      </c>
      <c r="D52">
        <v>2</v>
      </c>
      <c r="E52">
        <f t="shared" si="53"/>
        <v>8.2855012272545596E-3</v>
      </c>
      <c r="G52">
        <f t="shared" si="54"/>
        <v>1.8009124121983041E-6</v>
      </c>
      <c r="I52">
        <v>1.093372974836263E-2</v>
      </c>
      <c r="J52">
        <v>2</v>
      </c>
      <c r="K52">
        <f t="shared" si="55"/>
        <v>9.3100774908360143E-4</v>
      </c>
      <c r="M52">
        <f t="shared" si="56"/>
        <v>1.0005444739486065E-4</v>
      </c>
      <c r="O52">
        <v>1.1535317442073664E-2</v>
      </c>
      <c r="P52">
        <v>2</v>
      </c>
      <c r="Q52">
        <f t="shared" si="57"/>
        <v>5.7645263337754195E-3</v>
      </c>
      <c r="S52" s="3">
        <f t="shared" si="58"/>
        <v>3.3302030015614079E-5</v>
      </c>
      <c r="U52">
        <v>9.01397916974442E-3</v>
      </c>
      <c r="V52">
        <v>2</v>
      </c>
      <c r="W52">
        <f t="shared" si="59"/>
        <v>3.8888071855058874E-2</v>
      </c>
      <c r="X52">
        <v>0.28539838945703994</v>
      </c>
      <c r="Y52">
        <f t="shared" si="60"/>
        <v>8.9246141377075864E-4</v>
      </c>
      <c r="AA52">
        <v>6.1112701285271067E-3</v>
      </c>
      <c r="AB52">
        <v>2</v>
      </c>
      <c r="AC52">
        <f t="shared" si="61"/>
        <v>8.2419097155797802E-2</v>
      </c>
      <c r="AD52">
        <v>0.1546305817689754</v>
      </c>
      <c r="AE52">
        <f t="shared" si="62"/>
        <v>5.8228844656238636E-3</v>
      </c>
      <c r="AG52">
        <v>9.8699801792485331E-3</v>
      </c>
      <c r="AH52">
        <v>2</v>
      </c>
      <c r="AI52">
        <f t="shared" si="63"/>
        <v>4.6377450363347693E-2</v>
      </c>
      <c r="AJ52">
        <v>0.24422951888681071</v>
      </c>
      <c r="AK52" s="3">
        <f t="shared" si="64"/>
        <v>1.3327953792428892E-3</v>
      </c>
    </row>
    <row r="53" spans="2:37">
      <c r="C53">
        <v>1.3369174019527533E-2</v>
      </c>
      <c r="D53">
        <v>3</v>
      </c>
      <c r="E53">
        <f t="shared" si="53"/>
        <v>1.1096077395101942E-2</v>
      </c>
      <c r="G53">
        <f t="shared" si="54"/>
        <v>5.1669682639750192E-6</v>
      </c>
      <c r="I53">
        <v>2.4195253253188543E-2</v>
      </c>
      <c r="J53">
        <v>3</v>
      </c>
      <c r="K53">
        <f t="shared" si="55"/>
        <v>1.5701066071799512E-3</v>
      </c>
      <c r="M53">
        <f t="shared" si="56"/>
        <v>5.118972607533939E-4</v>
      </c>
      <c r="O53">
        <v>1.8577510179155821E-2</v>
      </c>
      <c r="P53">
        <v>3</v>
      </c>
      <c r="Q53">
        <f t="shared" si="57"/>
        <v>8.2907178796665076E-3</v>
      </c>
      <c r="S53" s="3">
        <f t="shared" si="58"/>
        <v>1.0581809581283263E-4</v>
      </c>
      <c r="U53">
        <v>1.4131230148470968E-2</v>
      </c>
      <c r="V53">
        <v>3</v>
      </c>
      <c r="W53">
        <f t="shared" si="59"/>
        <v>4.3658878179378711E-2</v>
      </c>
      <c r="Y53">
        <f t="shared" si="60"/>
        <v>8.7188199823717003E-4</v>
      </c>
      <c r="AA53">
        <v>0.15105051521642773</v>
      </c>
      <c r="AB53">
        <v>3</v>
      </c>
      <c r="AC53">
        <f t="shared" si="61"/>
        <v>8.7751984477295278E-2</v>
      </c>
      <c r="AE53">
        <f t="shared" si="62"/>
        <v>4.0067039937328967E-3</v>
      </c>
      <c r="AG53">
        <v>1.4651803796104784E-2</v>
      </c>
      <c r="AH53">
        <v>3</v>
      </c>
      <c r="AI53">
        <f t="shared" si="63"/>
        <v>5.1205139395900968E-2</v>
      </c>
      <c r="AK53" s="3">
        <f t="shared" si="64"/>
        <v>1.336146343471327E-3</v>
      </c>
    </row>
    <row r="54" spans="2:37">
      <c r="C54">
        <v>1.5534497351132721E-2</v>
      </c>
      <c r="D54">
        <v>4</v>
      </c>
      <c r="E54">
        <f t="shared" si="53"/>
        <v>1.3651220294404898E-2</v>
      </c>
      <c r="G54">
        <f t="shared" si="54"/>
        <v>3.5467324723974117E-6</v>
      </c>
      <c r="I54">
        <v>2.4584481240305055E-2</v>
      </c>
      <c r="J54">
        <v>4</v>
      </c>
      <c r="K54">
        <f t="shared" si="55"/>
        <v>2.274945863719889E-3</v>
      </c>
      <c r="M54">
        <f t="shared" si="56"/>
        <v>4.9771536871910508E-4</v>
      </c>
      <c r="O54">
        <v>2.6229509034038041E-2</v>
      </c>
      <c r="P54">
        <v>4</v>
      </c>
      <c r="Q54">
        <f t="shared" si="57"/>
        <v>1.0729345900970938E-2</v>
      </c>
      <c r="S54" s="3">
        <f t="shared" si="58"/>
        <v>2.4025505715169259E-4</v>
      </c>
      <c r="U54">
        <v>1.9990388743721371E-2</v>
      </c>
      <c r="V54">
        <v>4</v>
      </c>
      <c r="W54">
        <f t="shared" si="59"/>
        <v>4.7394711771439342E-2</v>
      </c>
      <c r="Y54">
        <f t="shared" si="60"/>
        <v>7.5099692060751348E-4</v>
      </c>
      <c r="AA54">
        <v>0.15105051521642773</v>
      </c>
      <c r="AB54">
        <v>4</v>
      </c>
      <c r="AC54">
        <f t="shared" si="61"/>
        <v>9.1743709515367866E-2</v>
      </c>
      <c r="AE54">
        <f t="shared" si="62"/>
        <v>3.517297202463267E-3</v>
      </c>
      <c r="AG54">
        <v>1.8556707277662867E-2</v>
      </c>
      <c r="AH54">
        <v>4</v>
      </c>
      <c r="AI54">
        <f t="shared" si="63"/>
        <v>5.4932236390112583E-2</v>
      </c>
      <c r="AK54" s="3">
        <f t="shared" si="64"/>
        <v>1.3231791182106772E-3</v>
      </c>
    </row>
    <row r="55" spans="2:37">
      <c r="C55">
        <v>6.1064758589475694E-2</v>
      </c>
      <c r="D55">
        <v>26</v>
      </c>
      <c r="E55">
        <f t="shared" si="53"/>
        <v>5.2573766227031922E-2</v>
      </c>
      <c r="G55">
        <f t="shared" si="54"/>
        <v>7.2096951299078474E-5</v>
      </c>
      <c r="I55">
        <v>8.4341496938016999E-2</v>
      </c>
      <c r="J55">
        <v>26</v>
      </c>
      <c r="K55">
        <f t="shared" si="55"/>
        <v>2.539742375859249E-2</v>
      </c>
      <c r="M55">
        <f t="shared" si="56"/>
        <v>3.4744037629813517E-3</v>
      </c>
      <c r="O55">
        <v>9.654900292545783E-2</v>
      </c>
      <c r="P55">
        <v>26</v>
      </c>
      <c r="Q55">
        <f t="shared" si="57"/>
        <v>5.7435163079860317E-2</v>
      </c>
      <c r="S55" s="3">
        <f t="shared" si="58"/>
        <v>1.5298924674670518E-3</v>
      </c>
      <c r="U55">
        <v>8.2312702410575728E-2</v>
      </c>
      <c r="V55">
        <v>26</v>
      </c>
      <c r="W55">
        <f t="shared" si="59"/>
        <v>8.0860058132778537E-2</v>
      </c>
      <c r="Y55">
        <f t="shared" si="60"/>
        <v>2.1101753978169223E-6</v>
      </c>
      <c r="AA55">
        <v>0.15105051521642773</v>
      </c>
      <c r="AB55">
        <v>26</v>
      </c>
      <c r="AC55">
        <f t="shared" si="61"/>
        <v>0.12253991124640214</v>
      </c>
      <c r="AE55">
        <f t="shared" si="62"/>
        <v>8.1285453873563933E-4</v>
      </c>
      <c r="AG55">
        <v>9.0193066338924002E-2</v>
      </c>
      <c r="AH55">
        <v>26</v>
      </c>
      <c r="AI55">
        <f t="shared" si="63"/>
        <v>8.6769025169850397E-2</v>
      </c>
      <c r="AK55" s="3">
        <f t="shared" si="64"/>
        <v>1.1724057927510939E-5</v>
      </c>
    </row>
    <row r="56" spans="2:37">
      <c r="C56">
        <v>6.1064758589475694E-2</v>
      </c>
      <c r="D56">
        <v>29</v>
      </c>
      <c r="E56">
        <f t="shared" si="53"/>
        <v>5.6876431350706129E-2</v>
      </c>
      <c r="G56">
        <f t="shared" si="54"/>
        <v>1.7542085059019092E-5</v>
      </c>
      <c r="I56">
        <v>8.4341496938016999E-2</v>
      </c>
      <c r="J56">
        <v>29</v>
      </c>
      <c r="K56">
        <f t="shared" si="55"/>
        <v>2.9236035485502597E-2</v>
      </c>
      <c r="M56">
        <f t="shared" si="56"/>
        <v>3.0366118818945507E-3</v>
      </c>
      <c r="O56">
        <v>9.654900292545783E-2</v>
      </c>
      <c r="P56">
        <v>29</v>
      </c>
      <c r="Q56">
        <f t="shared" si="57"/>
        <v>6.3340867997753167E-2</v>
      </c>
      <c r="S56" s="3">
        <f t="shared" si="58"/>
        <v>1.1027802253766384E-3</v>
      </c>
      <c r="U56">
        <v>8.4054084379962812E-2</v>
      </c>
      <c r="V56">
        <v>29</v>
      </c>
      <c r="W56">
        <f t="shared" si="59"/>
        <v>8.3419766126639067E-2</v>
      </c>
      <c r="Y56">
        <f t="shared" si="60"/>
        <v>4.023596464996876E-7</v>
      </c>
      <c r="AA56">
        <v>0.15105051521642773</v>
      </c>
      <c r="AB56">
        <v>29</v>
      </c>
      <c r="AC56">
        <f t="shared" si="61"/>
        <v>0.1246266331936452</v>
      </c>
      <c r="AE56">
        <f t="shared" si="62"/>
        <v>6.9822154115393011E-4</v>
      </c>
      <c r="AG56">
        <v>9.3115563640837687E-2</v>
      </c>
      <c r="AH56">
        <v>29</v>
      </c>
      <c r="AI56">
        <f t="shared" si="63"/>
        <v>8.9114262590758456E-2</v>
      </c>
      <c r="AK56" s="3">
        <f t="shared" si="64"/>
        <v>1.6010410093365158E-5</v>
      </c>
    </row>
    <row r="57" spans="2:37">
      <c r="C57">
        <v>6.1064758589475694E-2</v>
      </c>
      <c r="D57">
        <v>47.5</v>
      </c>
      <c r="E57">
        <f t="shared" si="53"/>
        <v>8.1152941008239415E-2</v>
      </c>
      <c r="G57">
        <f t="shared" si="54"/>
        <v>4.0353507288952786E-4</v>
      </c>
      <c r="I57">
        <v>8.4341496938016999E-2</v>
      </c>
      <c r="J57">
        <v>47.5</v>
      </c>
      <c r="K57">
        <f t="shared" si="55"/>
        <v>5.5225350470914668E-2</v>
      </c>
      <c r="M57">
        <f t="shared" si="56"/>
        <v>8.4774998509375555E-4</v>
      </c>
      <c r="O57">
        <v>9.654900292545783E-2</v>
      </c>
      <c r="P57">
        <v>47.5</v>
      </c>
      <c r="Q57">
        <f t="shared" si="57"/>
        <v>9.8572240675127584E-2</v>
      </c>
      <c r="S57" s="3">
        <f t="shared" si="58"/>
        <v>4.09349099168873E-6</v>
      </c>
      <c r="U57">
        <v>0.12942370644241258</v>
      </c>
      <c r="V57">
        <v>47.5</v>
      </c>
      <c r="W57">
        <f t="shared" si="59"/>
        <v>9.603478985642494E-2</v>
      </c>
      <c r="Y57">
        <f t="shared" si="60"/>
        <v>1.1148197507860403E-3</v>
      </c>
      <c r="AA57">
        <v>0.152186006153505</v>
      </c>
      <c r="AB57">
        <v>47.5</v>
      </c>
      <c r="AC57">
        <f t="shared" si="61"/>
        <v>0.13450781496081432</v>
      </c>
      <c r="AE57">
        <f t="shared" si="62"/>
        <v>3.1251844384532629E-4</v>
      </c>
      <c r="AG57">
        <v>0.14141977593554406</v>
      </c>
      <c r="AH57">
        <v>47.5</v>
      </c>
      <c r="AI57">
        <f t="shared" si="63"/>
        <v>0.10052741888433099</v>
      </c>
      <c r="AK57" s="3">
        <f t="shared" si="64"/>
        <v>1.672184865203895E-3</v>
      </c>
    </row>
    <row r="58" spans="2:37">
      <c r="C58">
        <v>6.1064758589475694E-2</v>
      </c>
      <c r="D58">
        <v>67</v>
      </c>
      <c r="E58">
        <f t="shared" si="53"/>
        <v>0.10397138999975096</v>
      </c>
      <c r="G58">
        <f t="shared" si="54"/>
        <v>1.8409790189772199E-3</v>
      </c>
      <c r="I58">
        <v>8.4341496938016999E-2</v>
      </c>
      <c r="J58">
        <v>67</v>
      </c>
      <c r="K58">
        <f t="shared" si="55"/>
        <v>8.6037132770578742E-2</v>
      </c>
      <c r="M58">
        <f t="shared" si="56"/>
        <v>2.8751808766673541E-6</v>
      </c>
      <c r="O58">
        <v>9.654900292545783E-2</v>
      </c>
      <c r="P58">
        <v>67</v>
      </c>
      <c r="Q58">
        <f t="shared" si="57"/>
        <v>0.134166231867826</v>
      </c>
      <c r="S58" s="3">
        <f t="shared" si="58"/>
        <v>1.4150559133025416E-3</v>
      </c>
      <c r="U58">
        <v>0.15211556189907993</v>
      </c>
      <c r="V58">
        <v>67</v>
      </c>
      <c r="W58">
        <f t="shared" si="59"/>
        <v>0.10594043267217523</v>
      </c>
      <c r="Y58">
        <f t="shared" si="60"/>
        <v>2.1321425591213487E-3</v>
      </c>
      <c r="AA58">
        <v>0.16355174632839567</v>
      </c>
      <c r="AB58">
        <v>67</v>
      </c>
      <c r="AC58">
        <f t="shared" si="61"/>
        <v>0.14185557829314324</v>
      </c>
      <c r="AE58">
        <f t="shared" si="62"/>
        <v>4.7072370741390918E-4</v>
      </c>
      <c r="AG58">
        <v>0.15730715669134229</v>
      </c>
      <c r="AH58">
        <v>67</v>
      </c>
      <c r="AI58">
        <f t="shared" si="63"/>
        <v>0.10933717000727168</v>
      </c>
      <c r="AK58" s="3">
        <f t="shared" si="64"/>
        <v>2.3011196224699119E-3</v>
      </c>
    </row>
    <row r="59" spans="2:37">
      <c r="C59">
        <v>6.1064758589475694E-2</v>
      </c>
      <c r="D59">
        <v>73.5</v>
      </c>
      <c r="E59">
        <f t="shared" si="53"/>
        <v>0.11114289793307608</v>
      </c>
      <c r="G59">
        <f t="shared" si="54"/>
        <v>2.5078200401170568E-3</v>
      </c>
      <c r="I59">
        <v>8.4341496938016999E-2</v>
      </c>
      <c r="J59">
        <v>73.5</v>
      </c>
      <c r="K59">
        <f t="shared" si="55"/>
        <v>9.6943471294827555E-2</v>
      </c>
      <c r="M59">
        <f t="shared" si="56"/>
        <v>1.5880975768971079E-4</v>
      </c>
      <c r="O59">
        <v>9.654900292545783E-2</v>
      </c>
      <c r="P59">
        <v>73.5</v>
      </c>
      <c r="Q59">
        <f t="shared" si="57"/>
        <v>0.14577573592240728</v>
      </c>
      <c r="S59" s="3">
        <f t="shared" si="58"/>
        <v>2.4232712415529515E-3</v>
      </c>
      <c r="U59">
        <v>0.15211556189907993</v>
      </c>
      <c r="V59">
        <v>73.5</v>
      </c>
      <c r="W59">
        <f t="shared" si="59"/>
        <v>0.10877731517673124</v>
      </c>
      <c r="Y59">
        <f t="shared" si="60"/>
        <v>1.8782036289671671E-3</v>
      </c>
      <c r="AA59">
        <v>0.17137766271842797</v>
      </c>
      <c r="AB59">
        <v>73.5</v>
      </c>
      <c r="AC59">
        <f t="shared" si="61"/>
        <v>0.14390123011691686</v>
      </c>
      <c r="AE59">
        <f t="shared" si="62"/>
        <v>7.5495434850538282E-4</v>
      </c>
      <c r="AG59">
        <v>0.15817395122821298</v>
      </c>
      <c r="AH59">
        <v>73.5</v>
      </c>
      <c r="AI59">
        <f t="shared" si="63"/>
        <v>0.111837877735809</v>
      </c>
      <c r="AK59" s="3">
        <f t="shared" si="64"/>
        <v>2.1470317066934631E-3</v>
      </c>
    </row>
    <row r="60" spans="2:37">
      <c r="C60">
        <v>6.1064758589475694E-2</v>
      </c>
      <c r="D60">
        <v>113</v>
      </c>
      <c r="E60">
        <f t="shared" si="53"/>
        <v>0.15150963257360098</v>
      </c>
      <c r="G60">
        <f t="shared" si="54"/>
        <v>8.1802752300043045E-3</v>
      </c>
      <c r="I60">
        <v>8.4341496938016999E-2</v>
      </c>
      <c r="J60">
        <v>113</v>
      </c>
      <c r="K60">
        <f t="shared" si="55"/>
        <v>0.1687664678306193</v>
      </c>
      <c r="M60">
        <f t="shared" si="56"/>
        <v>7.1275757102167454E-3</v>
      </c>
      <c r="O60">
        <v>9.654900292545783E-2</v>
      </c>
      <c r="P60">
        <v>113</v>
      </c>
      <c r="Q60">
        <f t="shared" si="57"/>
        <v>0.21434033084138143</v>
      </c>
      <c r="S60" s="3">
        <f t="shared" si="58"/>
        <v>1.3874796932196643E-2</v>
      </c>
      <c r="U60">
        <v>0.15211556189907993</v>
      </c>
      <c r="V60">
        <v>113</v>
      </c>
      <c r="W60">
        <f t="shared" si="59"/>
        <v>0.12298388718507376</v>
      </c>
      <c r="Y60">
        <f t="shared" si="60"/>
        <v>8.4865447164266645E-4</v>
      </c>
      <c r="AA60">
        <v>0.1747519700226744</v>
      </c>
      <c r="AB60">
        <v>113</v>
      </c>
      <c r="AC60">
        <f t="shared" si="61"/>
        <v>0.15379709189471069</v>
      </c>
      <c r="AE60">
        <f t="shared" si="62"/>
        <v>4.3910691735781166E-4</v>
      </c>
      <c r="AG60">
        <v>0.15817395122821298</v>
      </c>
      <c r="AH60">
        <v>113</v>
      </c>
      <c r="AI60">
        <f t="shared" si="63"/>
        <v>0.12422494660768232</v>
      </c>
      <c r="AK60" s="3">
        <f t="shared" si="64"/>
        <v>1.1525349147248122E-3</v>
      </c>
    </row>
    <row r="61" spans="2:37">
      <c r="C61">
        <v>0.22596425454894348</v>
      </c>
      <c r="D61">
        <v>166</v>
      </c>
      <c r="E61">
        <f t="shared" si="53"/>
        <v>0.19987718747811617</v>
      </c>
      <c r="G61">
        <f t="shared" si="54"/>
        <v>6.8053506835784241E-4</v>
      </c>
      <c r="I61">
        <v>0.16101912403673746</v>
      </c>
      <c r="J61">
        <v>166</v>
      </c>
      <c r="K61">
        <f t="shared" si="55"/>
        <v>0.27706513764124785</v>
      </c>
      <c r="M61">
        <f t="shared" si="56"/>
        <v>1.346667727349821E-2</v>
      </c>
      <c r="O61">
        <v>0.26448554696163806</v>
      </c>
      <c r="P61">
        <v>166</v>
      </c>
      <c r="Q61">
        <f t="shared" si="57"/>
        <v>0.30255935699364433</v>
      </c>
      <c r="S61" s="3">
        <f t="shared" si="58"/>
        <v>1.4496150103533014E-3</v>
      </c>
      <c r="U61">
        <v>0.15375284046872451</v>
      </c>
      <c r="V61">
        <v>166</v>
      </c>
      <c r="W61">
        <f t="shared" si="59"/>
        <v>0.13725185011887248</v>
      </c>
      <c r="Y61">
        <f t="shared" si="60"/>
        <v>2.7228268252590981E-4</v>
      </c>
      <c r="AA61">
        <v>0.1747519700226744</v>
      </c>
      <c r="AB61">
        <v>166</v>
      </c>
      <c r="AC61">
        <f t="shared" si="61"/>
        <v>0.16322099263347997</v>
      </c>
      <c r="AE61">
        <f t="shared" si="62"/>
        <v>1.3296343955011307E-4</v>
      </c>
      <c r="AG61">
        <v>0.15817395122821298</v>
      </c>
      <c r="AH61">
        <v>166</v>
      </c>
      <c r="AI61">
        <f t="shared" si="63"/>
        <v>0.13645906413975689</v>
      </c>
      <c r="AK61" s="3">
        <f t="shared" si="64"/>
        <v>4.7153632126439708E-4</v>
      </c>
    </row>
    <row r="62" spans="2:37">
      <c r="C62">
        <v>0.29019012390629123</v>
      </c>
      <c r="D62">
        <v>188</v>
      </c>
      <c r="E62">
        <f t="shared" si="53"/>
        <v>0.21862458815891289</v>
      </c>
      <c r="G62">
        <f t="shared" si="54"/>
        <v>5.1216259068092868E-3</v>
      </c>
      <c r="I62">
        <v>0.45390087184655081</v>
      </c>
      <c r="J62">
        <v>188</v>
      </c>
      <c r="K62">
        <f t="shared" si="55"/>
        <v>0.32527467296656754</v>
      </c>
      <c r="M62">
        <f t="shared" si="56"/>
        <v>1.6544699038313012E-2</v>
      </c>
      <c r="O62">
        <v>0.47733405810930213</v>
      </c>
      <c r="P62">
        <v>188</v>
      </c>
      <c r="Q62">
        <f t="shared" si="57"/>
        <v>0.3382631970642026</v>
      </c>
      <c r="S62" s="3">
        <f t="shared" si="58"/>
        <v>1.9340704391825381E-2</v>
      </c>
      <c r="U62">
        <v>0.15375284046872451</v>
      </c>
      <c r="V62">
        <v>188</v>
      </c>
      <c r="W62">
        <f t="shared" si="59"/>
        <v>0.1422145142136734</v>
      </c>
      <c r="Y62">
        <f t="shared" si="60"/>
        <v>1.331329727680017E-4</v>
      </c>
      <c r="AA62">
        <v>0.1747519700226744</v>
      </c>
      <c r="AB62">
        <v>188</v>
      </c>
      <c r="AC62">
        <f t="shared" si="61"/>
        <v>0.16639250528075877</v>
      </c>
      <c r="AE62">
        <f t="shared" si="62"/>
        <v>6.9880650771330435E-5</v>
      </c>
      <c r="AG62">
        <v>0.15817395122821298</v>
      </c>
      <c r="AH62">
        <v>188</v>
      </c>
      <c r="AI62">
        <f t="shared" si="63"/>
        <v>0.14067046908185427</v>
      </c>
      <c r="AK62" s="3">
        <f t="shared" si="64"/>
        <v>3.0637188724789836E-4</v>
      </c>
    </row>
    <row r="63" spans="2:37">
      <c r="C63">
        <v>0.30500767323638922</v>
      </c>
      <c r="D63">
        <v>237</v>
      </c>
      <c r="E63">
        <f t="shared" si="53"/>
        <v>0.25832193429260036</v>
      </c>
      <c r="G63">
        <f t="shared" si="54"/>
        <v>2.1795582207276036E-3</v>
      </c>
      <c r="I63">
        <v>0.4802984774616077</v>
      </c>
      <c r="J63">
        <v>237</v>
      </c>
      <c r="K63">
        <f t="shared" si="55"/>
        <v>0.43843790423991802</v>
      </c>
      <c r="M63">
        <f t="shared" si="56"/>
        <v>1.752307590448443E-3</v>
      </c>
      <c r="O63">
        <v>0.49274397854561042</v>
      </c>
      <c r="P63">
        <v>237</v>
      </c>
      <c r="Q63">
        <f t="shared" si="57"/>
        <v>0.4163061435072532</v>
      </c>
      <c r="S63" s="3">
        <f t="shared" si="58"/>
        <v>5.84274262535111E-3</v>
      </c>
      <c r="U63">
        <v>0.15375284046872451</v>
      </c>
      <c r="V63">
        <v>237</v>
      </c>
      <c r="W63">
        <f t="shared" si="59"/>
        <v>0.15193306108232682</v>
      </c>
      <c r="Y63">
        <f t="shared" si="60"/>
        <v>3.3115970151579357E-6</v>
      </c>
      <c r="AA63">
        <v>0.1747519700226744</v>
      </c>
      <c r="AB63">
        <v>237</v>
      </c>
      <c r="AC63">
        <f t="shared" si="61"/>
        <v>0.1724598991330262</v>
      </c>
      <c r="AE63">
        <f t="shared" si="62"/>
        <v>5.2535889631726709E-6</v>
      </c>
      <c r="AG63">
        <v>0.15817395122821298</v>
      </c>
      <c r="AH63">
        <v>237</v>
      </c>
      <c r="AI63">
        <f t="shared" si="63"/>
        <v>0.14885728864567691</v>
      </c>
      <c r="AK63" s="3">
        <f t="shared" si="64"/>
        <v>8.6800201676827821E-5</v>
      </c>
    </row>
    <row r="64" spans="2:37">
      <c r="C64">
        <v>0.32820927978418135</v>
      </c>
      <c r="D64">
        <v>276</v>
      </c>
      <c r="E64">
        <f t="shared" si="53"/>
        <v>0.28828459115803462</v>
      </c>
      <c r="G64">
        <f t="shared" si="54"/>
        <v>1.5939807618947702E-3</v>
      </c>
      <c r="I64">
        <v>0.53130275850079522</v>
      </c>
      <c r="J64">
        <v>276</v>
      </c>
      <c r="K64">
        <f t="shared" si="55"/>
        <v>0.53356472206794625</v>
      </c>
      <c r="M64">
        <f t="shared" si="56"/>
        <v>5.1164791791185956E-6</v>
      </c>
      <c r="O64">
        <v>0.49820402675078312</v>
      </c>
      <c r="P64">
        <v>276</v>
      </c>
      <c r="Q64">
        <f t="shared" si="57"/>
        <v>0.47721260211463273</v>
      </c>
      <c r="S64" s="3">
        <f t="shared" si="58"/>
        <v>4.4063990825518156E-4</v>
      </c>
      <c r="U64">
        <v>0.15375284046872451</v>
      </c>
      <c r="V64">
        <v>276</v>
      </c>
      <c r="W64">
        <f t="shared" si="59"/>
        <v>0.15868448087373824</v>
      </c>
      <c r="Y64">
        <f t="shared" si="60"/>
        <v>2.4321077084364004E-5</v>
      </c>
      <c r="AA64">
        <v>0.1747519700226744</v>
      </c>
      <c r="AB64">
        <v>276</v>
      </c>
      <c r="AC64">
        <f t="shared" si="61"/>
        <v>0.17657068459973588</v>
      </c>
      <c r="AE64">
        <f t="shared" si="62"/>
        <v>3.3077227128159218E-6</v>
      </c>
      <c r="AG64">
        <v>0.15817395122821298</v>
      </c>
      <c r="AH64">
        <v>276</v>
      </c>
      <c r="AI64">
        <f t="shared" si="63"/>
        <v>0.1545000089883157</v>
      </c>
      <c r="AK64" s="3">
        <f t="shared" si="64"/>
        <v>1.3497851582101457E-5</v>
      </c>
    </row>
    <row r="65" spans="3:37">
      <c r="C65">
        <v>0.33121312194020214</v>
      </c>
      <c r="D65">
        <v>305</v>
      </c>
      <c r="E65">
        <f t="shared" si="53"/>
        <v>0.30979812725935979</v>
      </c>
      <c r="G65">
        <f t="shared" si="54"/>
        <v>4.5860199718050602E-4</v>
      </c>
      <c r="I65">
        <v>0.58048475827350388</v>
      </c>
      <c r="J65">
        <v>305</v>
      </c>
      <c r="K65">
        <f t="shared" si="55"/>
        <v>0.60689892390987765</v>
      </c>
      <c r="M65">
        <f t="shared" si="56"/>
        <v>6.9770814626578931E-4</v>
      </c>
      <c r="O65">
        <v>0.49820402675078312</v>
      </c>
      <c r="P65">
        <v>305</v>
      </c>
      <c r="Q65">
        <f t="shared" si="57"/>
        <v>0.52191830104676995</v>
      </c>
      <c r="S65" s="3">
        <f t="shared" si="58"/>
        <v>5.6236680538530143E-4</v>
      </c>
      <c r="U65">
        <v>0.15375284046872451</v>
      </c>
      <c r="V65">
        <v>305</v>
      </c>
      <c r="W65">
        <f t="shared" si="59"/>
        <v>0.16327440420144779</v>
      </c>
      <c r="Y65">
        <f t="shared" si="60"/>
        <v>9.0660175916311306E-5</v>
      </c>
      <c r="AA65">
        <v>0.1747519700226744</v>
      </c>
      <c r="AB65">
        <v>305</v>
      </c>
      <c r="AC65">
        <f t="shared" si="61"/>
        <v>0.17931975585783685</v>
      </c>
      <c r="AE65">
        <f t="shared" si="62"/>
        <v>2.0864667435910792E-5</v>
      </c>
      <c r="AG65">
        <v>0.15817395122821298</v>
      </c>
      <c r="AH65">
        <v>305</v>
      </c>
      <c r="AI65">
        <f t="shared" si="63"/>
        <v>0.15831636610985117</v>
      </c>
      <c r="AK65" s="3">
        <f t="shared" si="64"/>
        <v>2.028199851201867E-8</v>
      </c>
    </row>
    <row r="66" spans="3:37">
      <c r="C66">
        <v>0.36230552320427839</v>
      </c>
      <c r="D66">
        <v>376</v>
      </c>
      <c r="E66">
        <f t="shared" si="53"/>
        <v>0.36020662273437243</v>
      </c>
      <c r="G66">
        <f t="shared" si="54"/>
        <v>4.405383182571469E-6</v>
      </c>
      <c r="M66">
        <f>SUM(M50:M65)</f>
        <v>4.8262011326252449E-2</v>
      </c>
      <c r="O66">
        <v>0.57879809331086962</v>
      </c>
      <c r="P66">
        <v>376</v>
      </c>
      <c r="Q66">
        <f t="shared" si="57"/>
        <v>0.62959949122014436</v>
      </c>
      <c r="S66" s="3">
        <f t="shared" si="58"/>
        <v>2.5807820295364638E-3</v>
      </c>
      <c r="U66">
        <v>0.15375284046872451</v>
      </c>
      <c r="V66">
        <v>376</v>
      </c>
      <c r="W66">
        <f t="shared" si="59"/>
        <v>0.17332347913761351</v>
      </c>
      <c r="Y66">
        <f t="shared" si="60"/>
        <v>3.8300989790821346E-4</v>
      </c>
      <c r="AA66">
        <v>0.1747519700226744</v>
      </c>
      <c r="AB66">
        <v>376</v>
      </c>
      <c r="AC66">
        <f t="shared" si="61"/>
        <v>0.1852175793815814</v>
      </c>
      <c r="AE66">
        <f t="shared" si="62"/>
        <v>1.0952897925324183E-4</v>
      </c>
      <c r="AG66">
        <v>0.15817395122821298</v>
      </c>
      <c r="AH66">
        <v>376</v>
      </c>
      <c r="AI66">
        <f t="shared" si="63"/>
        <v>0.16661854845775215</v>
      </c>
      <c r="AK66" s="3">
        <f t="shared" si="64"/>
        <v>7.1311222369140512E-5</v>
      </c>
    </row>
    <row r="67" spans="3:37">
      <c r="C67">
        <v>0.39414449342526048</v>
      </c>
      <c r="D67">
        <v>408.5</v>
      </c>
      <c r="E67">
        <f t="shared" si="53"/>
        <v>0.3823737021812238</v>
      </c>
      <c r="G67">
        <f t="shared" si="54"/>
        <v>1.3855152651069062E-4</v>
      </c>
      <c r="S67" s="3">
        <f t="shared" si="58"/>
        <v>0</v>
      </c>
      <c r="U67">
        <v>0.15375284046872451</v>
      </c>
      <c r="V67">
        <v>408.5</v>
      </c>
      <c r="W67">
        <f t="shared" si="59"/>
        <v>0.17747326670525873</v>
      </c>
      <c r="Y67">
        <f t="shared" si="60"/>
        <v>5.6265862084286123E-4</v>
      </c>
      <c r="AA67">
        <v>0.1747519700226744</v>
      </c>
      <c r="AB67">
        <v>408.5</v>
      </c>
      <c r="AC67">
        <f t="shared" si="61"/>
        <v>0.18760722384557954</v>
      </c>
      <c r="AE67">
        <f t="shared" si="62"/>
        <v>1.6525755085131731E-4</v>
      </c>
      <c r="AG67">
        <v>0.15817395122821298</v>
      </c>
      <c r="AH67">
        <v>408.5</v>
      </c>
      <c r="AI67">
        <f t="shared" si="63"/>
        <v>0.17002650942202152</v>
      </c>
      <c r="AK67" s="3">
        <f t="shared" si="64"/>
        <v>1.404831357376179E-4</v>
      </c>
    </row>
    <row r="68" spans="3:37">
      <c r="C68">
        <v>0.39414449342526048</v>
      </c>
      <c r="D68">
        <v>452</v>
      </c>
      <c r="E68">
        <f t="shared" si="53"/>
        <v>0.41128760673227766</v>
      </c>
      <c r="G68">
        <f t="shared" si="54"/>
        <v>2.9388633385722939E-4</v>
      </c>
      <c r="S68" s="3">
        <f t="shared" si="58"/>
        <v>0</v>
      </c>
      <c r="U68">
        <v>0.15375284046872451</v>
      </c>
      <c r="V68">
        <v>452</v>
      </c>
      <c r="W68">
        <f t="shared" si="59"/>
        <v>0.18267333923527646</v>
      </c>
      <c r="Y68">
        <f t="shared" si="60"/>
        <v>8.3639524890613288E-4</v>
      </c>
      <c r="AA68">
        <v>0.1747519700226744</v>
      </c>
      <c r="AB68">
        <v>452</v>
      </c>
      <c r="AC68">
        <f t="shared" si="61"/>
        <v>0.19056582102840575</v>
      </c>
      <c r="AE68">
        <f t="shared" si="62"/>
        <v>2.5007788363147043E-4</v>
      </c>
      <c r="AG68">
        <v>0.15817395122821298</v>
      </c>
      <c r="AH68">
        <v>452</v>
      </c>
      <c r="AI68">
        <f t="shared" si="63"/>
        <v>0.17428083851320927</v>
      </c>
      <c r="AK68" s="3">
        <f t="shared" si="64"/>
        <v>2.5943181801157516E-4</v>
      </c>
    </row>
    <row r="69" spans="3:37">
      <c r="C69">
        <v>0.39588568710922029</v>
      </c>
      <c r="D69">
        <v>500</v>
      </c>
      <c r="E69">
        <f t="shared" si="53"/>
        <v>0.44230365566339158</v>
      </c>
      <c r="G69">
        <f t="shared" si="54"/>
        <v>2.1546278046960352E-3</v>
      </c>
      <c r="S69" s="3">
        <f t="shared" si="58"/>
        <v>0</v>
      </c>
      <c r="U69">
        <v>0.15375284046872451</v>
      </c>
      <c r="V69">
        <v>500</v>
      </c>
      <c r="W69">
        <f t="shared" si="59"/>
        <v>0.1880115920732354</v>
      </c>
      <c r="Y69">
        <f t="shared" si="60"/>
        <v>1.1736620614995774E-3</v>
      </c>
      <c r="AA69">
        <v>0.1747519700226744</v>
      </c>
      <c r="AB69">
        <v>500</v>
      </c>
      <c r="AC69">
        <f t="shared" si="61"/>
        <v>0.19356316350873157</v>
      </c>
      <c r="AE69">
        <f t="shared" si="62"/>
        <v>3.5386100036987971E-4</v>
      </c>
      <c r="AG69">
        <v>0.15817395122821298</v>
      </c>
      <c r="AH69">
        <v>500</v>
      </c>
      <c r="AI69">
        <f t="shared" si="63"/>
        <v>0.17863008460212138</v>
      </c>
      <c r="AK69" s="3">
        <f t="shared" si="64"/>
        <v>4.1845339261112872E-4</v>
      </c>
    </row>
    <row r="70" spans="3:37">
      <c r="C70">
        <v>0.47668393589199243</v>
      </c>
      <c r="D70">
        <v>548</v>
      </c>
      <c r="E70">
        <f t="shared" si="53"/>
        <v>0.47249674337985725</v>
      </c>
      <c r="G70">
        <f t="shared" si="54"/>
        <v>1.7532581133680868E-5</v>
      </c>
      <c r="S70" s="3">
        <f t="shared" si="58"/>
        <v>0</v>
      </c>
      <c r="U70">
        <v>0.18003298003748031</v>
      </c>
      <c r="V70">
        <v>548</v>
      </c>
      <c r="W70">
        <f t="shared" si="59"/>
        <v>0.19299519435201598</v>
      </c>
      <c r="Y70">
        <f t="shared" si="60"/>
        <v>1.6801899993595357E-4</v>
      </c>
      <c r="AA70">
        <v>0.1747519700226744</v>
      </c>
      <c r="AB70">
        <v>548</v>
      </c>
      <c r="AC70">
        <f t="shared" si="61"/>
        <v>0.19632637173463086</v>
      </c>
      <c r="AE70">
        <f t="shared" si="62"/>
        <v>4.6545480922886981E-4</v>
      </c>
      <c r="AG70">
        <v>0.15817395122821298</v>
      </c>
      <c r="AH70">
        <v>548</v>
      </c>
      <c r="AI70">
        <f t="shared" si="63"/>
        <v>0.18267432716378315</v>
      </c>
      <c r="AK70" s="3">
        <f t="shared" si="64"/>
        <v>6.0026842098426572E-4</v>
      </c>
    </row>
    <row r="71" spans="3:37">
      <c r="C71">
        <v>0.50472101399270231</v>
      </c>
      <c r="D71">
        <v>620</v>
      </c>
      <c r="E71">
        <f t="shared" si="53"/>
        <v>0.51643850891560372</v>
      </c>
      <c r="G71">
        <f t="shared" si="54"/>
        <v>1.3729968726822048E-4</v>
      </c>
      <c r="S71" s="3">
        <f t="shared" si="58"/>
        <v>0</v>
      </c>
      <c r="U71">
        <v>0.18003298003748031</v>
      </c>
      <c r="V71">
        <v>620</v>
      </c>
      <c r="W71">
        <f t="shared" si="59"/>
        <v>0.19991575687556215</v>
      </c>
      <c r="Y71">
        <f t="shared" si="60"/>
        <v>3.9532481479296391E-4</v>
      </c>
      <c r="AA71">
        <v>0.1747519700226744</v>
      </c>
      <c r="AB71">
        <v>620</v>
      </c>
      <c r="AC71">
        <f t="shared" si="61"/>
        <v>0.20010989354708467</v>
      </c>
      <c r="AE71">
        <f t="shared" si="62"/>
        <v>6.4302428546983979E-4</v>
      </c>
      <c r="AG71">
        <v>0.15817395122821298</v>
      </c>
      <c r="AH71">
        <v>620</v>
      </c>
      <c r="AI71">
        <f t="shared" si="63"/>
        <v>0.18826558457269774</v>
      </c>
      <c r="AK71" s="3">
        <f t="shared" si="64"/>
        <v>9.0550639733890661E-4</v>
      </c>
    </row>
    <row r="72" spans="3:37">
      <c r="G72">
        <f>SUM(G50:G71)</f>
        <v>2.5814692736599448E-2</v>
      </c>
      <c r="S72" s="3">
        <f t="shared" si="58"/>
        <v>0</v>
      </c>
      <c r="U72">
        <v>0.19621032077038555</v>
      </c>
      <c r="V72">
        <v>716</v>
      </c>
      <c r="W72">
        <f t="shared" si="59"/>
        <v>0.20830059629835279</v>
      </c>
      <c r="Y72">
        <f t="shared" si="60"/>
        <v>1.4617476234216344E-4</v>
      </c>
      <c r="AA72">
        <v>0.1747519700226744</v>
      </c>
      <c r="AB72">
        <v>716</v>
      </c>
      <c r="AC72">
        <f t="shared" si="61"/>
        <v>0.20461443605072357</v>
      </c>
      <c r="AE72">
        <f t="shared" si="62"/>
        <v>8.9176687727639129E-4</v>
      </c>
      <c r="AG72">
        <v>0.18912105501397933</v>
      </c>
      <c r="AH72">
        <v>716</v>
      </c>
      <c r="AI72">
        <f t="shared" si="63"/>
        <v>0.19500264052424743</v>
      </c>
      <c r="AK72" s="3">
        <f t="shared" si="64"/>
        <v>3.4593048114595667E-5</v>
      </c>
    </row>
    <row r="73" spans="3:37">
      <c r="S73" s="3">
        <f>SUM(S50:S72)</f>
        <v>5.0951984603582731E-2</v>
      </c>
      <c r="U73">
        <v>0.19921353996585062</v>
      </c>
      <c r="V73">
        <v>788</v>
      </c>
      <c r="W73">
        <f t="shared" si="59"/>
        <v>0.21407544333194864</v>
      </c>
      <c r="Y73">
        <f t="shared" si="60"/>
        <v>2.2087617166323574E-4</v>
      </c>
      <c r="AA73">
        <v>0.1747519700226744</v>
      </c>
      <c r="AB73">
        <v>788</v>
      </c>
      <c r="AC73">
        <f t="shared" si="61"/>
        <v>0.20766865186633748</v>
      </c>
      <c r="AE73">
        <f t="shared" si="62"/>
        <v>1.0835079435969391E-3</v>
      </c>
      <c r="AG73">
        <v>0.18912105501397933</v>
      </c>
      <c r="AH73">
        <v>788</v>
      </c>
      <c r="AI73">
        <f t="shared" si="63"/>
        <v>0.19961982145466942</v>
      </c>
      <c r="AK73" s="3">
        <f>SUM(AK50:AK72)</f>
        <v>1.6749644438183903E-2</v>
      </c>
    </row>
    <row r="74" spans="3:37">
      <c r="U74">
        <v>0.19921353996585062</v>
      </c>
      <c r="V74">
        <v>860</v>
      </c>
      <c r="W74">
        <f t="shared" si="59"/>
        <v>0.21948460646545148</v>
      </c>
      <c r="Y74">
        <f t="shared" si="60"/>
        <v>4.1091613703124046E-4</v>
      </c>
      <c r="AA74">
        <v>0.18535493472011069</v>
      </c>
      <c r="AB74">
        <v>860</v>
      </c>
      <c r="AC74">
        <f t="shared" si="61"/>
        <v>0.21049540127386465</v>
      </c>
      <c r="AE74">
        <f t="shared" si="62"/>
        <v>6.3204305854042153E-4</v>
      </c>
      <c r="AG74">
        <v>0.19343651415235175</v>
      </c>
      <c r="AH74">
        <v>860</v>
      </c>
      <c r="AI74">
        <f t="shared" si="63"/>
        <v>0.20392834898978415</v>
      </c>
    </row>
    <row r="75" spans="3:37">
      <c r="U75">
        <v>0.24557573629584289</v>
      </c>
      <c r="V75">
        <v>956</v>
      </c>
      <c r="W75">
        <f t="shared" si="59"/>
        <v>0.22621469678939163</v>
      </c>
      <c r="Y75">
        <f t="shared" si="60"/>
        <v>3.7484985077036671E-4</v>
      </c>
      <c r="AA75">
        <v>0.24929065587356652</v>
      </c>
      <c r="AB75">
        <v>956</v>
      </c>
      <c r="AC75">
        <f t="shared" si="61"/>
        <v>0.21396825620226359</v>
      </c>
      <c r="AE75">
        <f t="shared" si="62"/>
        <v>1.2476719185392617E-3</v>
      </c>
      <c r="AG75">
        <v>0.21442255106510691</v>
      </c>
      <c r="AH75">
        <v>956</v>
      </c>
      <c r="AI75">
        <f t="shared" si="63"/>
        <v>0.20926772613017625</v>
      </c>
    </row>
    <row r="76" spans="3:37">
      <c r="U76">
        <v>0.30696967036980349</v>
      </c>
      <c r="V76">
        <v>980</v>
      </c>
      <c r="W76">
        <f t="shared" si="59"/>
        <v>0.22782114964611605</v>
      </c>
      <c r="Y76">
        <f t="shared" si="60"/>
        <v>6.2644883327479806E-3</v>
      </c>
      <c r="AA76">
        <v>0.27861896832928018</v>
      </c>
      <c r="AB76">
        <v>980</v>
      </c>
      <c r="AC76">
        <f t="shared" si="61"/>
        <v>0.21479018780935752</v>
      </c>
      <c r="AE76">
        <f t="shared" si="62"/>
        <v>4.0741132226604585E-3</v>
      </c>
      <c r="AG76">
        <v>0.23666318801068978</v>
      </c>
      <c r="AH76">
        <v>980</v>
      </c>
      <c r="AI76">
        <f t="shared" si="63"/>
        <v>0.21053880986107737</v>
      </c>
    </row>
    <row r="77" spans="3:37">
      <c r="Y77">
        <f>SUM(Y50:Y76)</f>
        <v>2.1210098836032761E-2</v>
      </c>
      <c r="AE77">
        <f>SUM(AE50:AE76)</f>
        <v>3.5845714805656521E-2</v>
      </c>
    </row>
    <row r="82" spans="20:36">
      <c r="T82" t="s">
        <v>43</v>
      </c>
      <c r="U82" t="s">
        <v>27</v>
      </c>
      <c r="V82" t="s">
        <v>46</v>
      </c>
      <c r="X82" t="s">
        <v>45</v>
      </c>
      <c r="Y82" t="s">
        <v>32</v>
      </c>
      <c r="Z82" t="s">
        <v>43</v>
      </c>
      <c r="AA82" t="s">
        <v>27</v>
      </c>
      <c r="AB82" t="s">
        <v>46</v>
      </c>
      <c r="AD82" t="s">
        <v>45</v>
      </c>
      <c r="AE82" t="s">
        <v>34</v>
      </c>
      <c r="AF82" t="s">
        <v>43</v>
      </c>
      <c r="AG82" t="s">
        <v>27</v>
      </c>
      <c r="AH82" t="s">
        <v>46</v>
      </c>
    </row>
    <row r="83" spans="20:36">
      <c r="T83">
        <v>4.1254247303885352E-3</v>
      </c>
      <c r="U83">
        <v>0.5</v>
      </c>
      <c r="V83">
        <f>W$83*U83^W$84</f>
        <v>4.5087810272228255E-3</v>
      </c>
      <c r="W83">
        <v>7.4541882544578858E-3</v>
      </c>
      <c r="X83">
        <f>(T83-V83)^2</f>
        <v>1.4696205032250047E-7</v>
      </c>
      <c r="Z83">
        <v>3.2187176835573928E-3</v>
      </c>
      <c r="AA83">
        <v>0.5</v>
      </c>
      <c r="AB83">
        <f>AC$83*AA83^AC$84</f>
        <v>1.1143901715998705E-7</v>
      </c>
      <c r="AC83">
        <v>2.625847479555584E-5</v>
      </c>
      <c r="AD83">
        <f>(Z83-AB83)^2</f>
        <v>1.0359426157393381E-5</v>
      </c>
      <c r="AF83" t="s">
        <v>34</v>
      </c>
      <c r="AG83" t="s">
        <v>26</v>
      </c>
      <c r="AH83" t="s">
        <v>27</v>
      </c>
      <c r="AI83" t="s">
        <v>28</v>
      </c>
    </row>
    <row r="84" spans="20:36">
      <c r="T84">
        <v>4.1254247303885352E-3</v>
      </c>
      <c r="U84">
        <v>1</v>
      </c>
      <c r="V84">
        <f t="shared" ref="V84:V91" si="65">W$83*U84^W$84</f>
        <v>7.4541882544578858E-3</v>
      </c>
      <c r="W84">
        <v>0.72531380861599337</v>
      </c>
      <c r="X84">
        <f t="shared" ref="X84:X91" si="66">(T84-V84)^2</f>
        <v>1.1080666599174602E-5</v>
      </c>
      <c r="Z84">
        <v>4.3627197518097188E-3</v>
      </c>
      <c r="AA84">
        <v>1</v>
      </c>
      <c r="AB84">
        <f t="shared" ref="AB84:AB86" si="67">AC$83*AA84^AC$84</f>
        <v>2.625847479555584E-5</v>
      </c>
      <c r="AC84">
        <v>7.8803848713327058</v>
      </c>
      <c r="AD84">
        <f t="shared" ref="AD84:AD86" si="68">(Z84-AB84)^2</f>
        <v>1.8804896407043305E-5</v>
      </c>
      <c r="AG84">
        <v>3.0635987590486033E-3</v>
      </c>
      <c r="AH84">
        <v>0.5</v>
      </c>
      <c r="AI84">
        <f>AJ$84*AH84^AJ$85</f>
        <v>5.2368472903819418E-3</v>
      </c>
      <c r="AJ84">
        <v>8.5467794014512915E-3</v>
      </c>
    </row>
    <row r="85" spans="20:36">
      <c r="T85">
        <v>9.01397916974442E-3</v>
      </c>
      <c r="U85">
        <v>2</v>
      </c>
      <c r="V85">
        <f t="shared" si="65"/>
        <v>1.2323712816704031E-2</v>
      </c>
      <c r="X85">
        <f t="shared" si="66"/>
        <v>1.0954336813816568E-5</v>
      </c>
      <c r="Z85">
        <v>6.1112701285271067E-3</v>
      </c>
      <c r="AA85">
        <v>2</v>
      </c>
      <c r="AB85">
        <f t="shared" si="67"/>
        <v>6.1873077864546501E-3</v>
      </c>
      <c r="AD85">
        <f t="shared" si="68"/>
        <v>5.7817254231060929E-9</v>
      </c>
      <c r="AG85">
        <v>3.813340227507755E-3</v>
      </c>
      <c r="AH85">
        <v>1</v>
      </c>
      <c r="AI85">
        <f t="shared" ref="AI85:AI92" si="69">AJ$84*AH85^AJ$85</f>
        <v>8.5467794014512915E-3</v>
      </c>
      <c r="AJ85">
        <v>0.70668235031740601</v>
      </c>
    </row>
    <row r="86" spans="20:36">
      <c r="T86">
        <v>1.4131230148470968E-2</v>
      </c>
      <c r="U86">
        <v>3</v>
      </c>
      <c r="V86">
        <f t="shared" si="65"/>
        <v>1.6537238545482218E-2</v>
      </c>
      <c r="X86">
        <f t="shared" si="66"/>
        <v>5.7888764064886431E-6</v>
      </c>
      <c r="Z86">
        <v>0.15105051521642773</v>
      </c>
      <c r="AA86">
        <v>3</v>
      </c>
      <c r="AB86">
        <f t="shared" si="67"/>
        <v>0.15106665547262649</v>
      </c>
      <c r="AD86">
        <f t="shared" si="68"/>
        <v>2.605078701614323E-10</v>
      </c>
      <c r="AG86">
        <v>9.8699801792485331E-3</v>
      </c>
      <c r="AH86">
        <v>2</v>
      </c>
      <c r="AI86">
        <f t="shared" si="69"/>
        <v>1.3948743220225636E-2</v>
      </c>
    </row>
    <row r="87" spans="20:36">
      <c r="T87">
        <v>1.9990388743721371E-2</v>
      </c>
      <c r="U87">
        <v>4</v>
      </c>
      <c r="V87">
        <f t="shared" si="65"/>
        <v>2.0374304002554387E-2</v>
      </c>
      <c r="X87">
        <f t="shared" si="66"/>
        <v>1.4739092596482174E-7</v>
      </c>
      <c r="AD87">
        <f>SUM(AD83:AD86)</f>
        <v>2.9170364797729954E-5</v>
      </c>
      <c r="AG87">
        <v>1.4651803796104784E-2</v>
      </c>
      <c r="AH87">
        <v>3</v>
      </c>
      <c r="AI87">
        <f t="shared" si="69"/>
        <v>1.8577003559893834E-2</v>
      </c>
    </row>
    <row r="88" spans="20:36">
      <c r="T88">
        <v>8.2312702410575728E-2</v>
      </c>
      <c r="U88">
        <v>26</v>
      </c>
      <c r="V88">
        <f t="shared" si="65"/>
        <v>7.9195419698931999E-2</v>
      </c>
      <c r="X88">
        <f t="shared" si="66"/>
        <v>9.7174515043128804E-6</v>
      </c>
      <c r="AG88">
        <v>1.8556707277662867E-2</v>
      </c>
      <c r="AH88">
        <v>4</v>
      </c>
      <c r="AI88">
        <f t="shared" si="69"/>
        <v>2.2765000508934628E-2</v>
      </c>
    </row>
    <row r="89" spans="20:36">
      <c r="T89">
        <v>8.4054084379962812E-2</v>
      </c>
      <c r="U89">
        <v>29</v>
      </c>
      <c r="V89">
        <f t="shared" si="65"/>
        <v>8.5723090159842946E-2</v>
      </c>
      <c r="X89">
        <f t="shared" si="66"/>
        <v>2.785580293273294E-6</v>
      </c>
      <c r="AG89">
        <v>9.0193066338924002E-2</v>
      </c>
      <c r="AH89">
        <v>26</v>
      </c>
      <c r="AI89">
        <f t="shared" si="69"/>
        <v>8.5455335945145663E-2</v>
      </c>
    </row>
    <row r="90" spans="20:36">
      <c r="T90">
        <v>0.12942370644241258</v>
      </c>
      <c r="U90">
        <v>47.5</v>
      </c>
      <c r="V90">
        <f t="shared" si="65"/>
        <v>0.12261098587914242</v>
      </c>
      <c r="X90">
        <f t="shared" si="66"/>
        <v>4.6413161473204102E-5</v>
      </c>
      <c r="AG90">
        <v>9.3115563640837687E-2</v>
      </c>
      <c r="AH90">
        <v>29</v>
      </c>
      <c r="AI90">
        <f t="shared" si="69"/>
        <v>9.2310977304211617E-2</v>
      </c>
    </row>
    <row r="91" spans="20:36">
      <c r="T91">
        <v>0.15211556189907993</v>
      </c>
      <c r="U91">
        <v>67</v>
      </c>
      <c r="V91">
        <f t="shared" si="65"/>
        <v>0.15735394175380837</v>
      </c>
      <c r="X91">
        <f t="shared" si="66"/>
        <v>2.7440623502424775E-5</v>
      </c>
      <c r="AG91">
        <v>0.14141977593554406</v>
      </c>
      <c r="AH91">
        <v>47.5</v>
      </c>
      <c r="AI91">
        <f t="shared" si="69"/>
        <v>0.13082546150888583</v>
      </c>
    </row>
    <row r="92" spans="20:36">
      <c r="X92">
        <f>SUM(X83:X91)</f>
        <v>1.1447504956898218E-4</v>
      </c>
      <c r="AG92">
        <v>0.15730715669134229</v>
      </c>
      <c r="AH92">
        <v>67</v>
      </c>
      <c r="AI92">
        <f t="shared" si="69"/>
        <v>0.16682353822545945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tabSelected="1" zoomScaleNormal="100" workbookViewId="0">
      <pane xSplit="1" topLeftCell="Z1" activePane="topRight" state="frozen"/>
      <selection pane="topRight" activeCell="AK1" sqref="AK1"/>
    </sheetView>
  </sheetViews>
  <sheetFormatPr defaultRowHeight="15"/>
  <cols>
    <col min="5" max="6" width="18.42578125" customWidth="1"/>
    <col min="7" max="7" width="13.85546875" customWidth="1"/>
    <col min="11" max="11" width="7.28515625" customWidth="1"/>
    <col min="12" max="12" width="18.42578125" customWidth="1"/>
    <col min="13" max="13" width="12.85546875" customWidth="1"/>
    <col min="17" max="18" width="18.42578125" customWidth="1"/>
    <col min="19" max="19" width="12" style="3" bestFit="1" customWidth="1"/>
    <col min="23" max="24" width="18.42578125" customWidth="1"/>
    <col min="25" max="25" width="12.28515625" bestFit="1" customWidth="1"/>
    <col min="29" max="30" width="18.42578125" customWidth="1"/>
    <col min="31" max="31" width="12" bestFit="1" customWidth="1"/>
    <col min="35" max="35" width="19.28515625" customWidth="1"/>
    <col min="36" max="36" width="18.140625" customWidth="1"/>
    <col min="37" max="37" width="12" style="3" bestFit="1" customWidth="1"/>
    <col min="38" max="38" width="12" bestFit="1" customWidth="1"/>
  </cols>
  <sheetData>
    <row r="1" spans="1:39">
      <c r="A1" t="s">
        <v>0</v>
      </c>
      <c r="B1" t="s">
        <v>1</v>
      </c>
      <c r="C1" t="s">
        <v>3</v>
      </c>
      <c r="D1" t="s">
        <v>4</v>
      </c>
      <c r="E1" t="s">
        <v>19</v>
      </c>
      <c r="F1" t="s">
        <v>21</v>
      </c>
      <c r="H1" t="s">
        <v>2</v>
      </c>
      <c r="I1" t="s">
        <v>3</v>
      </c>
      <c r="J1" t="s">
        <v>4</v>
      </c>
      <c r="K1" t="s">
        <v>19</v>
      </c>
      <c r="L1" t="s">
        <v>22</v>
      </c>
      <c r="N1" t="s">
        <v>5</v>
      </c>
      <c r="O1" t="s">
        <v>3</v>
      </c>
      <c r="P1" t="s">
        <v>4</v>
      </c>
      <c r="Q1" t="s">
        <v>17</v>
      </c>
      <c r="R1" t="s">
        <v>16</v>
      </c>
      <c r="S1" s="3" t="s">
        <v>59</v>
      </c>
      <c r="T1" t="s">
        <v>6</v>
      </c>
      <c r="U1" t="s">
        <v>3</v>
      </c>
      <c r="V1" t="s">
        <v>4</v>
      </c>
      <c r="W1" t="s">
        <v>19</v>
      </c>
      <c r="X1" t="s">
        <v>21</v>
      </c>
      <c r="Z1" t="s">
        <v>7</v>
      </c>
      <c r="AA1" t="s">
        <v>3</v>
      </c>
      <c r="AB1" t="s">
        <v>4</v>
      </c>
      <c r="AC1" t="s">
        <v>19</v>
      </c>
      <c r="AD1" t="s">
        <v>21</v>
      </c>
      <c r="AF1" t="s">
        <v>8</v>
      </c>
      <c r="AG1" t="s">
        <v>3</v>
      </c>
      <c r="AH1" t="s">
        <v>4</v>
      </c>
      <c r="AI1" t="s">
        <v>19</v>
      </c>
      <c r="AJ1" t="s">
        <v>21</v>
      </c>
      <c r="AK1" s="3" t="s">
        <v>60</v>
      </c>
    </row>
    <row r="2" spans="1:39">
      <c r="B2">
        <v>0.21</v>
      </c>
      <c r="H2">
        <v>0.18</v>
      </c>
      <c r="N2">
        <v>0.21</v>
      </c>
      <c r="T2">
        <v>0.15</v>
      </c>
      <c r="Z2">
        <v>0.19</v>
      </c>
      <c r="AF2">
        <v>0.2</v>
      </c>
    </row>
    <row r="3" spans="1:39">
      <c r="A3">
        <v>0.5</v>
      </c>
      <c r="B3">
        <f>(0.5503+0.5498)/2</f>
        <v>0.55004999999999993</v>
      </c>
      <c r="C3">
        <f t="shared" ref="C3:C29" si="0">(B3+0.001)/193.4</f>
        <v>2.8492761116856251E-3</v>
      </c>
      <c r="D3">
        <f t="shared" ref="D3:D29" si="1">C3*0.6/0.2</f>
        <v>8.547828335056875E-3</v>
      </c>
      <c r="E3">
        <f>D3</f>
        <v>8.547828335056875E-3</v>
      </c>
      <c r="F3">
        <f>E3/0.21</f>
        <v>4.070394445265179E-2</v>
      </c>
      <c r="H3">
        <f>(0.4729+0.4727)/2</f>
        <v>0.4728</v>
      </c>
      <c r="I3">
        <f t="shared" ref="I3:I29" si="2">(H3+0.001)/193.4</f>
        <v>2.4498448810754913E-3</v>
      </c>
      <c r="J3">
        <f t="shared" ref="J3:J29" si="3">I3*0.6/0.2</f>
        <v>7.3495346432264734E-3</v>
      </c>
      <c r="K3">
        <f>J3</f>
        <v>7.3495346432264734E-3</v>
      </c>
      <c r="L3">
        <f>K3/0.18</f>
        <v>4.0830748017924856E-2</v>
      </c>
      <c r="N3">
        <f>(0.5581+0.5505)/2</f>
        <v>0.55430000000000001</v>
      </c>
      <c r="O3">
        <f t="shared" ref="O3:O29" si="4">(N3+0.001)/193.4</f>
        <v>2.8712512926577041E-3</v>
      </c>
      <c r="P3">
        <f t="shared" ref="P3:P29" si="5">O3*0.6/0.2</f>
        <v>8.6137538779731126E-3</v>
      </c>
      <c r="Q3">
        <f>P3</f>
        <v>8.6137538779731126E-3</v>
      </c>
      <c r="R3">
        <f>Q3/0.21</f>
        <v>4.1017875609395779E-2</v>
      </c>
      <c r="S3" s="3">
        <f>AVERAGE(F3,L3,R3)</f>
        <v>4.085085602665748E-2</v>
      </c>
      <c r="T3">
        <f>(0.4461+0.4462)/2</f>
        <v>0.44614999999999999</v>
      </c>
      <c r="U3">
        <f t="shared" ref="U3:U29" si="6">(T3+0.001)/193.4</f>
        <v>2.3120475698035158E-3</v>
      </c>
      <c r="V3">
        <f t="shared" ref="V3:V29" si="7">U3*0.6/0.2</f>
        <v>6.936142709410547E-3</v>
      </c>
      <c r="W3">
        <f>V3</f>
        <v>6.936142709410547E-3</v>
      </c>
      <c r="X3">
        <f>W3/0.15</f>
        <v>4.6240951396070318E-2</v>
      </c>
      <c r="Z3">
        <f>(0.5452+0.5455)/2</f>
        <v>0.54535</v>
      </c>
      <c r="AA3">
        <f t="shared" ref="AA3:AA29" si="8">(Z3+0.001)/193.4</f>
        <v>2.8249741468459153E-3</v>
      </c>
      <c r="AB3">
        <f t="shared" ref="AB3:AB29" si="9">AA3*0.6/0.2</f>
        <v>8.4749224405377445E-3</v>
      </c>
      <c r="AC3">
        <f>AB3</f>
        <v>8.4749224405377445E-3</v>
      </c>
      <c r="AD3">
        <f>AC3/0.19</f>
        <v>4.4604854950198655E-2</v>
      </c>
      <c r="AF3">
        <f>(0.7537+0.7536)/2</f>
        <v>0.75365000000000004</v>
      </c>
      <c r="AG3">
        <f t="shared" ref="AG3:AG29" si="10">(AF3+0.001)/193.4</f>
        <v>3.9020165460186143E-3</v>
      </c>
      <c r="AH3">
        <f t="shared" ref="AH3:AH29" si="11">AG3*0.6/0.2</f>
        <v>1.170604963805584E-2</v>
      </c>
      <c r="AI3">
        <f>AH3</f>
        <v>1.170604963805584E-2</v>
      </c>
      <c r="AJ3">
        <f>AI3/0.2</f>
        <v>5.8530248190279202E-2</v>
      </c>
      <c r="AK3" s="3">
        <f>AVERAGE(X3,AD3,AJ3)</f>
        <v>4.9792018178849394E-2</v>
      </c>
      <c r="AL3">
        <v>1</v>
      </c>
      <c r="AM3">
        <f t="shared" ref="AM3:AM29" si="12">0.8^AL3</f>
        <v>0.8</v>
      </c>
    </row>
    <row r="4" spans="1:39">
      <c r="A4">
        <v>1</v>
      </c>
      <c r="B4">
        <f>0.6664</f>
        <v>0.66639999999999999</v>
      </c>
      <c r="C4">
        <f t="shared" si="0"/>
        <v>3.4508790072388831E-3</v>
      </c>
      <c r="D4">
        <f t="shared" si="1"/>
        <v>1.0352637021716647E-2</v>
      </c>
      <c r="E4">
        <f t="shared" ref="E4:E29" si="13">IF(D4-D3&gt;0,E3+(D4-D3*0.8)/AM3,D4/AM3)</f>
        <v>1.2940796277145807E-2</v>
      </c>
      <c r="F4">
        <f t="shared" ref="F4:F29" si="14">IF(E4/0.21&gt;F3,E4/0.21,F3)</f>
        <v>6.1622839414980035E-2</v>
      </c>
      <c r="H4">
        <f>(0.5854+0.5885)/2</f>
        <v>0.58695000000000008</v>
      </c>
      <c r="I4">
        <f t="shared" si="2"/>
        <v>3.040072388831438E-3</v>
      </c>
      <c r="J4">
        <f t="shared" si="3"/>
        <v>9.120217166494313E-3</v>
      </c>
      <c r="K4">
        <f t="shared" ref="K4:K29" si="15">IF(J4-J3&gt;0,K3+(J4-J3*0.8)/AM3,J4/AM3)</f>
        <v>1.1400271458117891E-2</v>
      </c>
      <c r="L4">
        <f t="shared" ref="L4:L29" si="16">IF(K4/0.18&gt;L3,K4/0.18,L3)</f>
        <v>6.3334841433988279E-2</v>
      </c>
      <c r="N4">
        <f>0.6237</f>
        <v>0.62370000000000003</v>
      </c>
      <c r="O4">
        <f t="shared" si="4"/>
        <v>3.2300930713547054E-3</v>
      </c>
      <c r="P4">
        <f t="shared" si="5"/>
        <v>9.690279214064115E-3</v>
      </c>
      <c r="Q4">
        <f t="shared" ref="Q4:Q29" si="17">IF(P4-P3&gt;0,Q3+(P4-P3*0.8)/AM3,P4/AM3)</f>
        <v>1.2112849017580142E-2</v>
      </c>
      <c r="R4">
        <f t="shared" ref="R4:R29" si="18">IF(Q4/0.21&gt;R3,Q4/0.21,R3)</f>
        <v>5.7680233417048296E-2</v>
      </c>
      <c r="S4" s="3">
        <f t="shared" ref="S4:S29" si="19">AVERAGE(F4,L4,R4)</f>
        <v>6.087930475533887E-2</v>
      </c>
      <c r="T4">
        <f>0.5368</f>
        <v>0.53680000000000005</v>
      </c>
      <c r="U4">
        <f t="shared" si="6"/>
        <v>2.7807652533609101E-3</v>
      </c>
      <c r="V4">
        <f t="shared" si="7"/>
        <v>8.342295760082729E-3</v>
      </c>
      <c r="W4">
        <f t="shared" ref="W4:W29" si="20">IF(V4-V3&gt;0,W3+(V4-V3*0.8)/AM3,V4/AM3)</f>
        <v>1.0427869700103412E-2</v>
      </c>
      <c r="X4">
        <f t="shared" ref="X4:X29" si="21">IF(W4/0.15&gt;X3,W4/0.15,X3)</f>
        <v>6.9519131334022752E-2</v>
      </c>
      <c r="Z4">
        <v>0.56910000000000005</v>
      </c>
      <c r="AA4">
        <f t="shared" si="8"/>
        <v>2.9477766287487077E-3</v>
      </c>
      <c r="AB4">
        <f t="shared" si="9"/>
        <v>8.8433298862461221E-3</v>
      </c>
      <c r="AC4">
        <f t="shared" ref="AC4:AC29" si="22">IF(AB4-AB3&gt;0,AC3+(AB4-AB3*0.8)/AM3,AB4/AM3)</f>
        <v>1.1054162357807651E-2</v>
      </c>
      <c r="AD4">
        <f t="shared" ref="AD4:AD29" si="23">IF(AC4/0.19&gt;AD3,AC4/0.19,AD3)</f>
        <v>5.8179801883198164E-2</v>
      </c>
      <c r="AF4">
        <v>0.77010000000000001</v>
      </c>
      <c r="AG4">
        <f t="shared" si="10"/>
        <v>3.9870734229576011E-3</v>
      </c>
      <c r="AH4">
        <f t="shared" si="11"/>
        <v>1.1961220268872802E-2</v>
      </c>
      <c r="AI4">
        <f t="shared" ref="AI4:AI29" si="24">IF(AH4-AH3&gt;0,AI3+(AH4-AH3*0.8)/AM3,AH4/AM3)</f>
        <v>1.4951525336091002E-2</v>
      </c>
      <c r="AJ4">
        <f t="shared" ref="AJ4:AJ29" si="25">IF(AI4/0.2&gt;AJ3,AI4/0.2,AJ3)</f>
        <v>7.4757626680455005E-2</v>
      </c>
      <c r="AK4" s="3">
        <f t="shared" ref="AK4:AK29" si="26">AVERAGE(X4,AD4,AJ4)</f>
        <v>6.7485519965891971E-2</v>
      </c>
      <c r="AL4">
        <v>2</v>
      </c>
      <c r="AM4">
        <f t="shared" si="12"/>
        <v>0.64000000000000012</v>
      </c>
    </row>
    <row r="5" spans="1:39">
      <c r="A5">
        <v>2</v>
      </c>
      <c r="B5">
        <v>0.55840000000000001</v>
      </c>
      <c r="C5">
        <f t="shared" si="0"/>
        <v>2.8924508790072389E-3</v>
      </c>
      <c r="D5">
        <f t="shared" si="1"/>
        <v>8.6773526370217159E-3</v>
      </c>
      <c r="E5">
        <f t="shared" si="13"/>
        <v>1.3558363495346429E-2</v>
      </c>
      <c r="F5">
        <f t="shared" si="14"/>
        <v>6.4563635692125851E-2</v>
      </c>
      <c r="H5">
        <f>0.5096</f>
        <v>0.50960000000000005</v>
      </c>
      <c r="I5">
        <f t="shared" si="2"/>
        <v>2.6401240951396073E-3</v>
      </c>
      <c r="J5">
        <f t="shared" si="3"/>
        <v>7.9203722854188207E-3</v>
      </c>
      <c r="K5">
        <f t="shared" si="15"/>
        <v>1.2375581695966906E-2</v>
      </c>
      <c r="L5">
        <f t="shared" si="16"/>
        <v>6.8753231644260587E-2</v>
      </c>
      <c r="N5">
        <v>0.55230000000000001</v>
      </c>
      <c r="O5">
        <f t="shared" si="4"/>
        <v>2.860910031023785E-3</v>
      </c>
      <c r="P5">
        <f t="shared" si="5"/>
        <v>8.5827300930713547E-3</v>
      </c>
      <c r="Q5">
        <f t="shared" si="17"/>
        <v>1.341051577042399E-2</v>
      </c>
      <c r="R5">
        <f t="shared" si="18"/>
        <v>6.3859598906780904E-2</v>
      </c>
      <c r="S5" s="3">
        <f t="shared" si="19"/>
        <v>6.5725488747722438E-2</v>
      </c>
      <c r="T5">
        <v>0.4627</v>
      </c>
      <c r="U5">
        <f t="shared" si="6"/>
        <v>2.3976215098241984E-3</v>
      </c>
      <c r="V5">
        <f t="shared" si="7"/>
        <v>7.1928645294725953E-3</v>
      </c>
      <c r="W5">
        <f t="shared" si="20"/>
        <v>1.1238850827300927E-2</v>
      </c>
      <c r="X5">
        <f t="shared" si="21"/>
        <v>7.4925672182006187E-2</v>
      </c>
      <c r="Z5">
        <v>0.54249999999999998</v>
      </c>
      <c r="AA5">
        <f t="shared" si="8"/>
        <v>2.8102378490175799E-3</v>
      </c>
      <c r="AB5">
        <f t="shared" si="9"/>
        <v>8.4307135470527393E-3</v>
      </c>
      <c r="AC5">
        <f t="shared" si="22"/>
        <v>1.3172989917269902E-2</v>
      </c>
      <c r="AD5">
        <f t="shared" si="23"/>
        <v>6.9331525880367909E-2</v>
      </c>
      <c r="AF5">
        <v>0.71679999999999999</v>
      </c>
      <c r="AG5">
        <f t="shared" si="10"/>
        <v>3.7114788004136501E-3</v>
      </c>
      <c r="AH5">
        <f t="shared" si="11"/>
        <v>1.1134436401240949E-2</v>
      </c>
      <c r="AI5">
        <f t="shared" si="24"/>
        <v>1.7397556876938981E-2</v>
      </c>
      <c r="AJ5">
        <f t="shared" si="25"/>
        <v>8.6987784384694899E-2</v>
      </c>
      <c r="AK5" s="3">
        <f t="shared" si="26"/>
        <v>7.7081660815689665E-2</v>
      </c>
      <c r="AL5">
        <v>3</v>
      </c>
      <c r="AM5">
        <f t="shared" si="12"/>
        <v>0.51200000000000012</v>
      </c>
    </row>
    <row r="6" spans="1:39">
      <c r="A6">
        <v>3</v>
      </c>
      <c r="B6">
        <f>(0.512+0.5121)/2</f>
        <v>0.51205000000000001</v>
      </c>
      <c r="C6">
        <f t="shared" si="0"/>
        <v>2.6527921406411582E-3</v>
      </c>
      <c r="D6">
        <f t="shared" si="1"/>
        <v>7.9583764219234732E-3</v>
      </c>
      <c r="E6">
        <f t="shared" si="13"/>
        <v>1.554370394906928E-2</v>
      </c>
      <c r="F6">
        <f t="shared" si="14"/>
        <v>7.4017637852710857E-2</v>
      </c>
      <c r="H6">
        <f>(0.4781+0.4785)/2</f>
        <v>0.4783</v>
      </c>
      <c r="I6">
        <f t="shared" si="2"/>
        <v>2.4782833505687693E-3</v>
      </c>
      <c r="J6">
        <f t="shared" si="3"/>
        <v>7.4348500517063074E-3</v>
      </c>
      <c r="K6">
        <f t="shared" si="15"/>
        <v>1.4521191507238879E-2</v>
      </c>
      <c r="L6">
        <f t="shared" si="16"/>
        <v>8.06732861513271E-2</v>
      </c>
      <c r="N6">
        <f>(0.4972+0.4976)/2</f>
        <v>0.49739999999999995</v>
      </c>
      <c r="O6">
        <f t="shared" si="4"/>
        <v>2.5770423991726987E-3</v>
      </c>
      <c r="P6">
        <f t="shared" si="5"/>
        <v>7.7311271975180947E-3</v>
      </c>
      <c r="Q6">
        <f t="shared" si="17"/>
        <v>1.5099857807652526E-2</v>
      </c>
      <c r="R6">
        <f t="shared" si="18"/>
        <v>7.1904084798345369E-2</v>
      </c>
      <c r="S6" s="3">
        <f t="shared" si="19"/>
        <v>7.5531669600794438E-2</v>
      </c>
      <c r="T6">
        <f>(0.3953+0.3955)/2</f>
        <v>0.39539999999999997</v>
      </c>
      <c r="U6">
        <f t="shared" si="6"/>
        <v>2.0496380558428125E-3</v>
      </c>
      <c r="V6">
        <f t="shared" si="7"/>
        <v>6.1489141675284366E-3</v>
      </c>
      <c r="W6">
        <f t="shared" si="20"/>
        <v>1.2009597983453975E-2</v>
      </c>
      <c r="X6">
        <f t="shared" si="21"/>
        <v>8.0063986556359837E-2</v>
      </c>
      <c r="Z6">
        <f>(0.4942+0.4946)/2</f>
        <v>0.49439999999999995</v>
      </c>
      <c r="AA6">
        <f t="shared" si="8"/>
        <v>2.5615305067218197E-3</v>
      </c>
      <c r="AB6">
        <f t="shared" si="9"/>
        <v>7.6845915201654586E-3</v>
      </c>
      <c r="AC6">
        <f t="shared" si="22"/>
        <v>1.5008967812823158E-2</v>
      </c>
      <c r="AD6">
        <f t="shared" si="23"/>
        <v>7.899456743591135E-2</v>
      </c>
      <c r="AF6">
        <f>(0.6755+0.6784)/2</f>
        <v>0.67694999999999994</v>
      </c>
      <c r="AG6">
        <f t="shared" si="10"/>
        <v>3.5054291623578073E-3</v>
      </c>
      <c r="AH6">
        <f t="shared" si="11"/>
        <v>1.0516287487073421E-2</v>
      </c>
      <c r="AI6">
        <f t="shared" si="24"/>
        <v>2.053962399819027E-2</v>
      </c>
      <c r="AJ6">
        <f t="shared" si="25"/>
        <v>0.10269811999095134</v>
      </c>
      <c r="AK6" s="3">
        <f t="shared" si="26"/>
        <v>8.7252224661074185E-2</v>
      </c>
      <c r="AL6">
        <v>4</v>
      </c>
      <c r="AM6">
        <f t="shared" si="12"/>
        <v>0.40960000000000019</v>
      </c>
    </row>
    <row r="7" spans="1:39">
      <c r="A7">
        <v>4</v>
      </c>
      <c r="B7">
        <f>(0.4515+0.4517)/2</f>
        <v>0.4516</v>
      </c>
      <c r="C7">
        <f t="shared" si="0"/>
        <v>2.3402275077559461E-3</v>
      </c>
      <c r="D7">
        <f t="shared" si="1"/>
        <v>7.0206825232678382E-3</v>
      </c>
      <c r="E7">
        <f t="shared" si="13"/>
        <v>1.7140338191571864E-2</v>
      </c>
      <c r="F7">
        <f t="shared" si="14"/>
        <v>8.1620658055104114E-2</v>
      </c>
      <c r="H7">
        <f>(0.3939+0.3942)/2</f>
        <v>0.39405000000000001</v>
      </c>
      <c r="I7">
        <f t="shared" si="2"/>
        <v>2.0426577042399175E-3</v>
      </c>
      <c r="J7">
        <f t="shared" si="3"/>
        <v>6.127973112719752E-3</v>
      </c>
      <c r="K7">
        <f t="shared" si="15"/>
        <v>1.4960871857225951E-2</v>
      </c>
      <c r="L7">
        <f t="shared" si="16"/>
        <v>8.3115954762366398E-2</v>
      </c>
      <c r="N7">
        <f>(0.405+0.4051)/2</f>
        <v>0.40505000000000002</v>
      </c>
      <c r="O7">
        <f t="shared" si="4"/>
        <v>2.0995346432264735E-3</v>
      </c>
      <c r="P7">
        <f t="shared" si="5"/>
        <v>6.2986039296794201E-3</v>
      </c>
      <c r="Q7">
        <f t="shared" si="17"/>
        <v>1.537745100019389E-2</v>
      </c>
      <c r="R7">
        <f t="shared" si="18"/>
        <v>7.3225957143780426E-2</v>
      </c>
      <c r="S7" s="3">
        <f t="shared" si="19"/>
        <v>7.9320856653750313E-2</v>
      </c>
      <c r="T7">
        <f>0.3157</f>
        <v>0.31569999999999998</v>
      </c>
      <c r="U7">
        <f t="shared" si="6"/>
        <v>1.6375387797311271E-3</v>
      </c>
      <c r="V7">
        <f t="shared" si="7"/>
        <v>4.9126163391933807E-3</v>
      </c>
      <c r="W7">
        <f t="shared" si="20"/>
        <v>1.1993692234358835E-2</v>
      </c>
      <c r="X7">
        <f t="shared" si="21"/>
        <v>8.0063986556359837E-2</v>
      </c>
      <c r="Z7">
        <f>(0.3971+0.3974)/2</f>
        <v>0.39724999999999999</v>
      </c>
      <c r="AA7">
        <f t="shared" si="8"/>
        <v>2.0592037228541883E-3</v>
      </c>
      <c r="AB7">
        <f t="shared" si="9"/>
        <v>6.1776111685625636E-3</v>
      </c>
      <c r="AC7">
        <f t="shared" si="22"/>
        <v>1.5082058516998439E-2</v>
      </c>
      <c r="AD7">
        <f t="shared" si="23"/>
        <v>7.9379255352623371E-2</v>
      </c>
      <c r="AF7">
        <f>(0.5365+0.5364)/2</f>
        <v>0.53644999999999998</v>
      </c>
      <c r="AG7">
        <f t="shared" si="10"/>
        <v>2.7789555325749742E-3</v>
      </c>
      <c r="AH7">
        <f t="shared" si="11"/>
        <v>8.3368665977249217E-3</v>
      </c>
      <c r="AI7">
        <f t="shared" si="24"/>
        <v>2.035367821710185E-2</v>
      </c>
      <c r="AJ7">
        <f t="shared" si="25"/>
        <v>0.10269811999095134</v>
      </c>
      <c r="AK7" s="3">
        <f t="shared" si="26"/>
        <v>8.7380453966644844E-2</v>
      </c>
      <c r="AL7">
        <v>5</v>
      </c>
      <c r="AM7">
        <f t="shared" si="12"/>
        <v>0.32768000000000019</v>
      </c>
    </row>
    <row r="8" spans="1:39">
      <c r="A8">
        <v>26</v>
      </c>
      <c r="B8">
        <f>(0.32266+0.3265)/2</f>
        <v>0.32457999999999998</v>
      </c>
      <c r="C8">
        <f t="shared" si="0"/>
        <v>1.6834539813857289E-3</v>
      </c>
      <c r="D8">
        <f t="shared" si="1"/>
        <v>5.0503619441571853E-3</v>
      </c>
      <c r="E8">
        <f t="shared" si="13"/>
        <v>1.541248151903437E-2</v>
      </c>
      <c r="F8">
        <f t="shared" si="14"/>
        <v>8.1620658055104114E-2</v>
      </c>
      <c r="H8">
        <f>(0.288+0.2879)/2</f>
        <v>0.28794999999999998</v>
      </c>
      <c r="I8">
        <f t="shared" si="2"/>
        <v>1.4940537745604962E-3</v>
      </c>
      <c r="J8">
        <f t="shared" si="3"/>
        <v>4.482161323681488E-3</v>
      </c>
      <c r="K8">
        <f t="shared" si="15"/>
        <v>1.3678470836430314E-2</v>
      </c>
      <c r="L8">
        <f t="shared" si="16"/>
        <v>8.3115954762366398E-2</v>
      </c>
      <c r="N8">
        <f>(0.3124+0.3123)/2</f>
        <v>0.31235000000000002</v>
      </c>
      <c r="O8">
        <f t="shared" si="4"/>
        <v>1.6202171664943124E-3</v>
      </c>
      <c r="P8">
        <f t="shared" si="5"/>
        <v>4.8606514994829373E-3</v>
      </c>
      <c r="Q8">
        <f t="shared" si="17"/>
        <v>1.4833531187386884E-2</v>
      </c>
      <c r="R8">
        <f t="shared" si="18"/>
        <v>7.3225957143780426E-2</v>
      </c>
      <c r="S8" s="3">
        <f t="shared" si="19"/>
        <v>7.9320856653750313E-2</v>
      </c>
      <c r="T8">
        <v>0.22489999999999999</v>
      </c>
      <c r="U8">
        <f t="shared" si="6"/>
        <v>1.1680455015511892E-3</v>
      </c>
      <c r="V8">
        <f t="shared" si="7"/>
        <v>3.5041365046535673E-3</v>
      </c>
      <c r="W8">
        <f t="shared" si="20"/>
        <v>1.069377595414296E-2</v>
      </c>
      <c r="X8">
        <f t="shared" si="21"/>
        <v>8.0063986556359837E-2</v>
      </c>
      <c r="Z8">
        <f>(0.3522+0.3516)/2</f>
        <v>0.35189999999999999</v>
      </c>
      <c r="AA8">
        <f t="shared" si="8"/>
        <v>1.8247156153050671E-3</v>
      </c>
      <c r="AB8">
        <f t="shared" si="9"/>
        <v>5.4741468459151999E-3</v>
      </c>
      <c r="AC8">
        <f t="shared" si="22"/>
        <v>1.6705770403793934E-2</v>
      </c>
      <c r="AD8">
        <f t="shared" si="23"/>
        <v>8.7925107388389129E-2</v>
      </c>
      <c r="AF8">
        <v>0.45319999999999999</v>
      </c>
      <c r="AG8">
        <f t="shared" si="10"/>
        <v>2.3485005170630815E-3</v>
      </c>
      <c r="AH8">
        <f t="shared" si="11"/>
        <v>7.0455015511892436E-3</v>
      </c>
      <c r="AI8">
        <f t="shared" si="24"/>
        <v>2.150116440182263E-2</v>
      </c>
      <c r="AJ8">
        <f t="shared" si="25"/>
        <v>0.10750582200911314</v>
      </c>
      <c r="AK8" s="3">
        <f t="shared" si="26"/>
        <v>9.1831638651287364E-2</v>
      </c>
      <c r="AL8">
        <v>6</v>
      </c>
      <c r="AM8">
        <f t="shared" si="12"/>
        <v>0.26214400000000015</v>
      </c>
    </row>
    <row r="9" spans="1:39">
      <c r="A9">
        <v>29</v>
      </c>
      <c r="B9">
        <v>0.22639999999999999</v>
      </c>
      <c r="C9">
        <f t="shared" si="0"/>
        <v>1.1758014477766287E-3</v>
      </c>
      <c r="D9">
        <f t="shared" si="1"/>
        <v>3.5274043433298858E-3</v>
      </c>
      <c r="E9">
        <f t="shared" si="13"/>
        <v>1.3455979703254257E-2</v>
      </c>
      <c r="F9">
        <f t="shared" si="14"/>
        <v>8.1620658055104114E-2</v>
      </c>
      <c r="H9">
        <f>0.2195</f>
        <v>0.2195</v>
      </c>
      <c r="I9">
        <f t="shared" si="2"/>
        <v>1.1401240951396071E-3</v>
      </c>
      <c r="J9">
        <f t="shared" si="3"/>
        <v>3.4203722854188206E-3</v>
      </c>
      <c r="K9">
        <f t="shared" si="15"/>
        <v>1.3047684804606699E-2</v>
      </c>
      <c r="L9">
        <f t="shared" si="16"/>
        <v>8.3115954762366398E-2</v>
      </c>
      <c r="N9">
        <v>0.2213</v>
      </c>
      <c r="O9">
        <f t="shared" si="4"/>
        <v>1.1494312306101343E-3</v>
      </c>
      <c r="P9">
        <f t="shared" si="5"/>
        <v>3.4482936918304023E-3</v>
      </c>
      <c r="Q9">
        <f t="shared" si="17"/>
        <v>1.3154196517297365E-2</v>
      </c>
      <c r="R9">
        <f t="shared" si="18"/>
        <v>7.3225957143780426E-2</v>
      </c>
      <c r="S9" s="3">
        <f t="shared" si="19"/>
        <v>7.9320856653750313E-2</v>
      </c>
      <c r="T9">
        <v>0.18990000000000001</v>
      </c>
      <c r="U9">
        <f t="shared" si="6"/>
        <v>9.8707342295760079E-4</v>
      </c>
      <c r="V9">
        <f t="shared" si="7"/>
        <v>2.9612202688728021E-3</v>
      </c>
      <c r="W9">
        <f t="shared" si="20"/>
        <v>1.1296158862582398E-2</v>
      </c>
      <c r="X9">
        <f t="shared" si="21"/>
        <v>8.0063986556359837E-2</v>
      </c>
      <c r="Z9">
        <f>0.2546</f>
        <v>0.25459999999999999</v>
      </c>
      <c r="AA9">
        <f t="shared" si="8"/>
        <v>1.3216132368148914E-3</v>
      </c>
      <c r="AB9">
        <f t="shared" si="9"/>
        <v>3.964839710444674E-3</v>
      </c>
      <c r="AC9">
        <f t="shared" si="22"/>
        <v>1.5124663202074706E-2</v>
      </c>
      <c r="AD9">
        <f t="shared" si="23"/>
        <v>8.7925107388389129E-2</v>
      </c>
      <c r="AF9">
        <f>0.3317</f>
        <v>0.33169999999999999</v>
      </c>
      <c r="AG9">
        <f t="shared" si="10"/>
        <v>1.7202688728024818E-3</v>
      </c>
      <c r="AH9">
        <f t="shared" si="11"/>
        <v>5.1608066184074455E-3</v>
      </c>
      <c r="AI9">
        <f t="shared" si="24"/>
        <v>1.9686914895658273E-2</v>
      </c>
      <c r="AJ9">
        <f t="shared" si="25"/>
        <v>0.10750582200911314</v>
      </c>
      <c r="AK9" s="3">
        <f t="shared" si="26"/>
        <v>9.1831638651287364E-2</v>
      </c>
      <c r="AL9">
        <v>7</v>
      </c>
      <c r="AM9">
        <f t="shared" si="12"/>
        <v>0.20971520000000016</v>
      </c>
    </row>
    <row r="10" spans="1:39">
      <c r="A10">
        <v>47.5</v>
      </c>
      <c r="B10">
        <f>(0.0942+0.0928)/2</f>
        <v>9.35E-2</v>
      </c>
      <c r="C10">
        <f t="shared" si="0"/>
        <v>4.8862461220268872E-4</v>
      </c>
      <c r="D10">
        <f t="shared" si="1"/>
        <v>1.4658738366080659E-3</v>
      </c>
      <c r="E10">
        <f t="shared" si="13"/>
        <v>6.9898311453250161E-3</v>
      </c>
      <c r="F10">
        <f t="shared" si="14"/>
        <v>8.1620658055104114E-2</v>
      </c>
      <c r="H10">
        <f>(0.0993+0.0991)/2</f>
        <v>9.9199999999999997E-2</v>
      </c>
      <c r="I10">
        <f t="shared" si="2"/>
        <v>5.1809720785935876E-4</v>
      </c>
      <c r="J10">
        <f t="shared" si="3"/>
        <v>1.5542916235780761E-3</v>
      </c>
      <c r="K10">
        <f t="shared" si="15"/>
        <v>7.4114400080589051E-3</v>
      </c>
      <c r="L10">
        <f t="shared" si="16"/>
        <v>8.3115954762366398E-2</v>
      </c>
      <c r="N10">
        <f>(0.1036+0.1034)/2</f>
        <v>0.10350000000000001</v>
      </c>
      <c r="O10">
        <f t="shared" si="4"/>
        <v>5.4033092037228544E-4</v>
      </c>
      <c r="P10">
        <f t="shared" si="5"/>
        <v>1.6209927611168561E-3</v>
      </c>
      <c r="Q10">
        <f t="shared" si="17"/>
        <v>7.7294958167879813E-3</v>
      </c>
      <c r="R10">
        <f t="shared" si="18"/>
        <v>7.3225957143780426E-2</v>
      </c>
      <c r="S10" s="3">
        <f t="shared" si="19"/>
        <v>7.9320856653750313E-2</v>
      </c>
      <c r="T10">
        <f>(0.1686+0.1681)/2</f>
        <v>0.16835</v>
      </c>
      <c r="U10">
        <f t="shared" si="6"/>
        <v>8.756463288521199E-4</v>
      </c>
      <c r="V10">
        <f t="shared" si="7"/>
        <v>2.6269389865563593E-3</v>
      </c>
      <c r="W10">
        <f t="shared" si="20"/>
        <v>1.2526221211225307E-2</v>
      </c>
      <c r="X10">
        <f t="shared" si="21"/>
        <v>8.3508141408168715E-2</v>
      </c>
      <c r="Z10">
        <f>(0.2297+0.229)/2</f>
        <v>0.22935</v>
      </c>
      <c r="AA10">
        <f t="shared" si="8"/>
        <v>1.1910548086866597E-3</v>
      </c>
      <c r="AB10">
        <f t="shared" si="9"/>
        <v>3.5731644260599787E-3</v>
      </c>
      <c r="AC10">
        <f t="shared" si="22"/>
        <v>1.703817570714939E-2</v>
      </c>
      <c r="AD10">
        <f t="shared" si="23"/>
        <v>8.9674608984996795E-2</v>
      </c>
      <c r="AF10">
        <f>(0.2949+0.2947)/2</f>
        <v>0.29480000000000001</v>
      </c>
      <c r="AG10">
        <f t="shared" si="10"/>
        <v>1.5294725956566701E-3</v>
      </c>
      <c r="AH10">
        <f t="shared" si="11"/>
        <v>4.58841778697001E-3</v>
      </c>
      <c r="AI10">
        <f t="shared" si="24"/>
        <v>2.1879280981874496E-2</v>
      </c>
      <c r="AJ10">
        <f t="shared" si="25"/>
        <v>0.10939640490937247</v>
      </c>
      <c r="AK10" s="3">
        <f t="shared" si="26"/>
        <v>9.4193051767512651E-2</v>
      </c>
      <c r="AL10">
        <v>8</v>
      </c>
      <c r="AM10">
        <f t="shared" si="12"/>
        <v>0.16777216000000014</v>
      </c>
    </row>
    <row r="11" spans="1:39">
      <c r="A11">
        <v>67</v>
      </c>
      <c r="B11">
        <f>(0.0911+0.0895)/2</f>
        <v>9.0299999999999991E-2</v>
      </c>
      <c r="C11">
        <f t="shared" si="0"/>
        <v>4.7207859358841775E-4</v>
      </c>
      <c r="D11">
        <f t="shared" si="1"/>
        <v>1.4162357807652531E-3</v>
      </c>
      <c r="E11">
        <f t="shared" si="13"/>
        <v>8.4414230630710831E-3</v>
      </c>
      <c r="F11">
        <f t="shared" si="14"/>
        <v>8.1620658055104114E-2</v>
      </c>
      <c r="H11">
        <f>(0.0926+0.0918)/2</f>
        <v>9.2200000000000004E-2</v>
      </c>
      <c r="I11">
        <f t="shared" si="2"/>
        <v>4.8190279214064115E-4</v>
      </c>
      <c r="J11">
        <f t="shared" si="3"/>
        <v>1.4457083764219233E-3</v>
      </c>
      <c r="K11">
        <f t="shared" si="15"/>
        <v>8.6170934225435376E-3</v>
      </c>
      <c r="L11">
        <f t="shared" si="16"/>
        <v>8.3115954762366398E-2</v>
      </c>
      <c r="N11">
        <f>(0.0891+0.0905)/2</f>
        <v>8.9799999999999991E-2</v>
      </c>
      <c r="O11">
        <f t="shared" si="4"/>
        <v>4.6949327817993788E-4</v>
      </c>
      <c r="P11">
        <f t="shared" si="5"/>
        <v>1.4084798345398134E-3</v>
      </c>
      <c r="Q11">
        <f t="shared" si="17"/>
        <v>8.3951940211046475E-3</v>
      </c>
      <c r="R11">
        <f t="shared" si="18"/>
        <v>7.3225957143780426E-2</v>
      </c>
      <c r="S11" s="3">
        <f t="shared" si="19"/>
        <v>7.9320856653750313E-2</v>
      </c>
      <c r="T11">
        <f>(0.1371+0.1373)/2</f>
        <v>0.13719999999999999</v>
      </c>
      <c r="U11">
        <f t="shared" si="6"/>
        <v>7.1458117890382616E-4</v>
      </c>
      <c r="V11">
        <f t="shared" si="7"/>
        <v>2.1437435367114782E-3</v>
      </c>
      <c r="W11">
        <f t="shared" si="20"/>
        <v>1.2777707199522712E-2</v>
      </c>
      <c r="X11">
        <f t="shared" si="21"/>
        <v>8.5184714663484748E-2</v>
      </c>
      <c r="Z11">
        <f>(0.1779+0.176)/2</f>
        <v>0.17695</v>
      </c>
      <c r="AA11">
        <f t="shared" si="8"/>
        <v>9.2011375387797303E-4</v>
      </c>
      <c r="AB11">
        <f t="shared" si="9"/>
        <v>2.7603412616339189E-3</v>
      </c>
      <c r="AC11">
        <f t="shared" si="22"/>
        <v>1.6452916035854318E-2</v>
      </c>
      <c r="AD11">
        <f t="shared" si="23"/>
        <v>8.9674608984996795E-2</v>
      </c>
      <c r="AF11">
        <f>(0.2456+0.2426)/2</f>
        <v>0.24410000000000001</v>
      </c>
      <c r="AG11">
        <f t="shared" si="10"/>
        <v>1.2673216132368149E-3</v>
      </c>
      <c r="AH11">
        <f t="shared" si="11"/>
        <v>3.8019648397104445E-3</v>
      </c>
      <c r="AI11">
        <f t="shared" si="24"/>
        <v>2.2661476371946581E-2</v>
      </c>
      <c r="AJ11">
        <f t="shared" si="25"/>
        <v>0.11330738185973289</v>
      </c>
      <c r="AK11" s="3">
        <f t="shared" si="26"/>
        <v>9.6055568502738151E-2</v>
      </c>
      <c r="AL11">
        <v>9</v>
      </c>
      <c r="AM11">
        <f t="shared" si="12"/>
        <v>0.13421772800000012</v>
      </c>
    </row>
    <row r="12" spans="1:39">
      <c r="A12">
        <v>73.5</v>
      </c>
      <c r="B12">
        <f>(0.0847+0.0831)/2</f>
        <v>8.3900000000000002E-2</v>
      </c>
      <c r="C12">
        <f t="shared" si="0"/>
        <v>4.3898655635987591E-4</v>
      </c>
      <c r="D12">
        <f t="shared" si="1"/>
        <v>1.3169596690796276E-3</v>
      </c>
      <c r="E12">
        <f t="shared" si="13"/>
        <v>9.8121141573758903E-3</v>
      </c>
      <c r="F12">
        <f t="shared" si="14"/>
        <v>8.1620658055104114E-2</v>
      </c>
      <c r="H12">
        <f>(0.0891+0.0894)/2</f>
        <v>8.9249999999999996E-2</v>
      </c>
      <c r="I12">
        <f t="shared" si="2"/>
        <v>4.6664943123061011E-4</v>
      </c>
      <c r="J12">
        <f t="shared" si="3"/>
        <v>1.3999482936918302E-3</v>
      </c>
      <c r="K12">
        <f t="shared" si="15"/>
        <v>1.0430427593676963E-2</v>
      </c>
      <c r="L12">
        <f t="shared" si="16"/>
        <v>8.3115954762366398E-2</v>
      </c>
      <c r="N12">
        <f>(0.0834+0.0836)/2</f>
        <v>8.3499999999999991E-2</v>
      </c>
      <c r="O12">
        <f t="shared" si="4"/>
        <v>4.36918304033092E-4</v>
      </c>
      <c r="P12">
        <f t="shared" si="5"/>
        <v>1.310754912099276E-3</v>
      </c>
      <c r="Q12">
        <f t="shared" si="17"/>
        <v>9.7658851154094548E-3</v>
      </c>
      <c r="R12">
        <f t="shared" si="18"/>
        <v>7.3225957143780426E-2</v>
      </c>
      <c r="S12" s="3">
        <f t="shared" si="19"/>
        <v>7.9320856653750313E-2</v>
      </c>
      <c r="T12">
        <f>(0.1096+0.1095)/2</f>
        <v>0.10955000000000001</v>
      </c>
      <c r="U12">
        <f t="shared" si="6"/>
        <v>5.7161323681489149E-4</v>
      </c>
      <c r="V12">
        <f t="shared" si="7"/>
        <v>1.7148397104446743E-3</v>
      </c>
      <c r="W12">
        <f t="shared" si="20"/>
        <v>1.2776551473473554E-2</v>
      </c>
      <c r="X12">
        <f t="shared" si="21"/>
        <v>8.5184714663484748E-2</v>
      </c>
      <c r="Z12">
        <f>(0.1446+0.1449)/2</f>
        <v>0.14474999999999999</v>
      </c>
      <c r="AA12">
        <f t="shared" si="8"/>
        <v>7.536194415718717E-4</v>
      </c>
      <c r="AB12">
        <f t="shared" si="9"/>
        <v>2.2608583247156148E-3</v>
      </c>
      <c r="AC12">
        <f t="shared" si="22"/>
        <v>1.6844707166519857E-2</v>
      </c>
      <c r="AD12">
        <f t="shared" si="23"/>
        <v>8.9674608984996795E-2</v>
      </c>
      <c r="AF12">
        <f>(0.1919+0.1916)/2</f>
        <v>0.19174999999999998</v>
      </c>
      <c r="AG12">
        <f t="shared" si="10"/>
        <v>9.9663908996897596E-4</v>
      </c>
      <c r="AH12">
        <f t="shared" si="11"/>
        <v>2.9899172699069275E-3</v>
      </c>
      <c r="AI12">
        <f t="shared" si="24"/>
        <v>2.2276619597575997E-2</v>
      </c>
      <c r="AJ12">
        <f t="shared" si="25"/>
        <v>0.11330738185973289</v>
      </c>
      <c r="AK12" s="3">
        <f t="shared" si="26"/>
        <v>9.6055568502738151E-2</v>
      </c>
      <c r="AL12">
        <v>10</v>
      </c>
      <c r="AM12">
        <f t="shared" si="12"/>
        <v>0.10737418240000011</v>
      </c>
    </row>
    <row r="13" spans="1:39">
      <c r="A13">
        <v>113</v>
      </c>
      <c r="B13">
        <f>(0.1096+0.1084)/2</f>
        <v>0.109</v>
      </c>
      <c r="C13">
        <f t="shared" si="0"/>
        <v>5.6876938986556355E-4</v>
      </c>
      <c r="D13">
        <f t="shared" si="1"/>
        <v>1.7063081695966906E-3</v>
      </c>
      <c r="E13">
        <f t="shared" si="13"/>
        <v>1.5891233175962128E-2</v>
      </c>
      <c r="F13">
        <f t="shared" si="14"/>
        <v>8.1620658055104114E-2</v>
      </c>
      <c r="H13">
        <f>(0.0853+0.0852)/2</f>
        <v>8.5249999999999992E-2</v>
      </c>
      <c r="I13">
        <f t="shared" si="2"/>
        <v>4.4596690796277143E-4</v>
      </c>
      <c r="J13">
        <f t="shared" si="3"/>
        <v>1.3379007238883142E-3</v>
      </c>
      <c r="K13">
        <f t="shared" si="15"/>
        <v>1.246017146751576E-2</v>
      </c>
      <c r="L13">
        <f t="shared" si="16"/>
        <v>8.3115954762366398E-2</v>
      </c>
      <c r="N13">
        <f>(0.0798+0.0804)/2</f>
        <v>8.0100000000000005E-2</v>
      </c>
      <c r="O13">
        <f t="shared" si="4"/>
        <v>4.1933815925542916E-4</v>
      </c>
      <c r="P13">
        <f t="shared" si="5"/>
        <v>1.2580144777662875E-3</v>
      </c>
      <c r="Q13">
        <f t="shared" si="17"/>
        <v>1.1716172823368443E-2</v>
      </c>
      <c r="R13">
        <f t="shared" si="18"/>
        <v>7.3225957143780426E-2</v>
      </c>
      <c r="S13" s="3">
        <f t="shared" si="19"/>
        <v>7.9320856653750313E-2</v>
      </c>
      <c r="T13">
        <f>(0.0879+0.0877)/2</f>
        <v>8.7800000000000003E-2</v>
      </c>
      <c r="U13">
        <f t="shared" si="6"/>
        <v>4.5915201654601862E-4</v>
      </c>
      <c r="V13">
        <f t="shared" si="7"/>
        <v>1.3774560496380556E-3</v>
      </c>
      <c r="W13">
        <f t="shared" si="20"/>
        <v>1.282855914568579E-2</v>
      </c>
      <c r="X13">
        <f t="shared" si="21"/>
        <v>8.5523727637905264E-2</v>
      </c>
      <c r="Z13">
        <f>(0.1194+0.1192)/2</f>
        <v>0.1193</v>
      </c>
      <c r="AA13">
        <f t="shared" si="8"/>
        <v>6.2202688728024821E-4</v>
      </c>
      <c r="AB13">
        <f t="shared" si="9"/>
        <v>1.8660806618407445E-3</v>
      </c>
      <c r="AC13">
        <f t="shared" si="22"/>
        <v>1.7379230464256764E-2</v>
      </c>
      <c r="AD13">
        <f t="shared" si="23"/>
        <v>9.1469634022404017E-2</v>
      </c>
      <c r="AF13">
        <f>(0.1611+0.1629)/2</f>
        <v>0.16199999999999998</v>
      </c>
      <c r="AG13">
        <f t="shared" si="10"/>
        <v>8.4281282316442591E-4</v>
      </c>
      <c r="AH13">
        <f t="shared" si="11"/>
        <v>2.5284384694932776E-3</v>
      </c>
      <c r="AI13">
        <f t="shared" si="24"/>
        <v>2.3547918251652967E-2</v>
      </c>
      <c r="AJ13">
        <f t="shared" si="25"/>
        <v>0.11773959125826483</v>
      </c>
      <c r="AK13" s="3">
        <f t="shared" si="26"/>
        <v>9.8244317639524695E-2</v>
      </c>
      <c r="AL13">
        <v>11</v>
      </c>
      <c r="AM13">
        <f t="shared" si="12"/>
        <v>8.5899345920000092E-2</v>
      </c>
    </row>
    <row r="14" spans="1:39">
      <c r="A14">
        <v>166</v>
      </c>
      <c r="B14">
        <f>(0.244+0.2437)/2</f>
        <v>0.24385000000000001</v>
      </c>
      <c r="C14">
        <f t="shared" si="0"/>
        <v>1.2660289555325749E-3</v>
      </c>
      <c r="D14">
        <f t="shared" si="1"/>
        <v>3.7980868665977246E-3</v>
      </c>
      <c r="E14">
        <f t="shared" si="13"/>
        <v>4.4215550490162805E-2</v>
      </c>
      <c r="F14">
        <f t="shared" si="14"/>
        <v>0.2105502404293467</v>
      </c>
      <c r="H14">
        <f>(0.1613+0.1604)/2</f>
        <v>0.16084999999999999</v>
      </c>
      <c r="I14">
        <f t="shared" si="2"/>
        <v>8.3686659772492242E-4</v>
      </c>
      <c r="J14">
        <f t="shared" si="3"/>
        <v>2.5105997931747668E-3</v>
      </c>
      <c r="K14">
        <f t="shared" si="15"/>
        <v>2.9227228290107612E-2</v>
      </c>
      <c r="L14">
        <f t="shared" si="16"/>
        <v>0.16237349050059785</v>
      </c>
      <c r="N14">
        <f>(0.2154+0.2141)/2</f>
        <v>0.21475</v>
      </c>
      <c r="O14">
        <f t="shared" si="4"/>
        <v>1.1155635987590486E-3</v>
      </c>
      <c r="P14">
        <f t="shared" si="5"/>
        <v>3.3466907962771456E-3</v>
      </c>
      <c r="Q14">
        <f t="shared" si="17"/>
        <v>3.8960608610384424E-2</v>
      </c>
      <c r="R14">
        <f t="shared" si="18"/>
        <v>0.18552670766849727</v>
      </c>
      <c r="S14" s="3">
        <f t="shared" si="19"/>
        <v>0.18615014619948064</v>
      </c>
      <c r="T14">
        <f>(0.0807+0.0805)/2</f>
        <v>8.0600000000000005E-2</v>
      </c>
      <c r="U14">
        <f t="shared" si="6"/>
        <v>4.2192347466390903E-4</v>
      </c>
      <c r="V14">
        <f t="shared" si="7"/>
        <v>1.2657704239917268E-3</v>
      </c>
      <c r="W14">
        <f t="shared" si="20"/>
        <v>1.4735507126801245E-2</v>
      </c>
      <c r="X14">
        <f t="shared" si="21"/>
        <v>9.8236714178674966E-2</v>
      </c>
      <c r="Z14">
        <f>(0.1042+0.104)/2</f>
        <v>0.1041</v>
      </c>
      <c r="AA14">
        <f t="shared" si="8"/>
        <v>5.4343329886246121E-4</v>
      </c>
      <c r="AB14">
        <f t="shared" si="9"/>
        <v>1.6302998965873835E-3</v>
      </c>
      <c r="AC14">
        <f t="shared" si="22"/>
        <v>1.8979188713563858E-2</v>
      </c>
      <c r="AD14">
        <f t="shared" si="23"/>
        <v>9.9890466913493986E-2</v>
      </c>
      <c r="AF14">
        <f>(0.1414+0.1411)/2</f>
        <v>0.14124999999999999</v>
      </c>
      <c r="AG14">
        <f t="shared" si="10"/>
        <v>7.3552223371251284E-4</v>
      </c>
      <c r="AH14">
        <f t="shared" si="11"/>
        <v>2.2065667011375383E-3</v>
      </c>
      <c r="AI14">
        <f t="shared" si="24"/>
        <v>2.5687817264552413E-2</v>
      </c>
      <c r="AJ14">
        <f t="shared" si="25"/>
        <v>0.12843908632276205</v>
      </c>
      <c r="AK14" s="3">
        <f t="shared" si="26"/>
        <v>0.10885542247164366</v>
      </c>
      <c r="AL14">
        <v>12</v>
      </c>
      <c r="AM14">
        <f t="shared" si="12"/>
        <v>6.8719476736000096E-2</v>
      </c>
    </row>
    <row r="15" spans="1:39">
      <c r="A15">
        <v>188</v>
      </c>
      <c r="B15">
        <f>(0.1561+0.1567)/2</f>
        <v>0.15639999999999998</v>
      </c>
      <c r="C15">
        <f t="shared" si="0"/>
        <v>8.1385729058945178E-4</v>
      </c>
      <c r="D15">
        <f t="shared" si="1"/>
        <v>2.441571871768355E-3</v>
      </c>
      <c r="E15">
        <f t="shared" si="13"/>
        <v>3.5529546901938033E-2</v>
      </c>
      <c r="F15">
        <f t="shared" si="14"/>
        <v>0.2105502404293467</v>
      </c>
      <c r="H15">
        <f>(0.1318+0.1313)/2</f>
        <v>0.13155</v>
      </c>
      <c r="I15">
        <f t="shared" si="2"/>
        <v>6.8536711478800417E-4</v>
      </c>
      <c r="J15">
        <f t="shared" si="3"/>
        <v>2.0561013443640124E-3</v>
      </c>
      <c r="K15">
        <f t="shared" si="15"/>
        <v>2.9920212464116188E-2</v>
      </c>
      <c r="L15">
        <f t="shared" si="16"/>
        <v>0.16622340257842327</v>
      </c>
      <c r="N15">
        <f>(0.1393+0.1452)/2</f>
        <v>0.14224999999999999</v>
      </c>
      <c r="O15">
        <f t="shared" si="4"/>
        <v>7.4069286452947247E-4</v>
      </c>
      <c r="P15">
        <f t="shared" si="5"/>
        <v>2.2220785935884169E-3</v>
      </c>
      <c r="Q15">
        <f t="shared" si="17"/>
        <v>3.2335499324667234E-2</v>
      </c>
      <c r="R15">
        <f t="shared" si="18"/>
        <v>0.18552670766849727</v>
      </c>
      <c r="S15" s="3">
        <f t="shared" si="19"/>
        <v>0.18743345022542238</v>
      </c>
      <c r="T15">
        <f>(0.0372+0.0371)/2</f>
        <v>3.7150000000000002E-2</v>
      </c>
      <c r="U15">
        <f t="shared" si="6"/>
        <v>1.9725956566701139E-4</v>
      </c>
      <c r="V15">
        <f t="shared" si="7"/>
        <v>5.9177869700103409E-4</v>
      </c>
      <c r="W15">
        <f t="shared" si="20"/>
        <v>8.6115134327124296E-3</v>
      </c>
      <c r="X15">
        <f t="shared" si="21"/>
        <v>9.8236714178674966E-2</v>
      </c>
      <c r="Z15">
        <f>(0.0524+0.0523)/2</f>
        <v>5.2350000000000001E-2</v>
      </c>
      <c r="AA15">
        <f t="shared" si="8"/>
        <v>2.7585315408479836E-4</v>
      </c>
      <c r="AB15">
        <f t="shared" si="9"/>
        <v>8.2755946225439498E-4</v>
      </c>
      <c r="AC15">
        <f t="shared" si="22"/>
        <v>1.2042575141158796E-2</v>
      </c>
      <c r="AD15">
        <f t="shared" si="23"/>
        <v>9.9890466913493986E-2</v>
      </c>
      <c r="AF15">
        <f>(0.0768+0.0666)/2</f>
        <v>7.17E-2</v>
      </c>
      <c r="AG15">
        <f t="shared" si="10"/>
        <v>3.7590486039296796E-4</v>
      </c>
      <c r="AH15">
        <f t="shared" si="11"/>
        <v>1.1277145811789038E-3</v>
      </c>
      <c r="AI15">
        <f t="shared" si="24"/>
        <v>1.6410406987108613E-2</v>
      </c>
      <c r="AJ15">
        <f t="shared" si="25"/>
        <v>0.12843908632276205</v>
      </c>
      <c r="AK15" s="3">
        <f t="shared" si="26"/>
        <v>0.10885542247164366</v>
      </c>
      <c r="AL15">
        <v>13</v>
      </c>
      <c r="AM15">
        <f t="shared" si="12"/>
        <v>5.4975581388800078E-2</v>
      </c>
    </row>
    <row r="16" spans="1:39">
      <c r="A16">
        <v>237</v>
      </c>
      <c r="B16">
        <f>(0.194+0.1942)/2</f>
        <v>0.19409999999999999</v>
      </c>
      <c r="C16">
        <f t="shared" si="0"/>
        <v>1.0087900723888313E-3</v>
      </c>
      <c r="D16">
        <f t="shared" si="1"/>
        <v>3.0263702171664936E-3</v>
      </c>
      <c r="E16">
        <f t="shared" si="13"/>
        <v>5.5049353562326167E-2</v>
      </c>
      <c r="F16">
        <f t="shared" si="14"/>
        <v>0.26213977886821987</v>
      </c>
      <c r="H16">
        <f>(0.1513+0.1528)/2</f>
        <v>0.15204999999999999</v>
      </c>
      <c r="I16">
        <f t="shared" si="2"/>
        <v>7.9136504653567726E-4</v>
      </c>
      <c r="J16">
        <f t="shared" si="3"/>
        <v>2.3740951396070313E-3</v>
      </c>
      <c r="K16">
        <f t="shared" si="15"/>
        <v>4.3184539019549051E-2</v>
      </c>
      <c r="L16">
        <f t="shared" si="16"/>
        <v>0.23991410566416141</v>
      </c>
      <c r="N16">
        <f>(0.1459+0.1453)/2</f>
        <v>0.14560000000000001</v>
      </c>
      <c r="O16">
        <f t="shared" si="4"/>
        <v>7.5801447776628747E-4</v>
      </c>
      <c r="P16">
        <f t="shared" si="5"/>
        <v>2.274043433298862E-3</v>
      </c>
      <c r="Q16">
        <f t="shared" si="17"/>
        <v>4.1364609083736625E-2</v>
      </c>
      <c r="R16">
        <f t="shared" si="18"/>
        <v>0.19697432897017442</v>
      </c>
      <c r="S16" s="3">
        <f t="shared" si="19"/>
        <v>0.23300940450085192</v>
      </c>
      <c r="T16">
        <f>0.0432</f>
        <v>4.3200000000000002E-2</v>
      </c>
      <c r="U16">
        <f t="shared" si="6"/>
        <v>2.2854188210961739E-4</v>
      </c>
      <c r="V16">
        <f t="shared" si="7"/>
        <v>6.8562564632885213E-4</v>
      </c>
      <c r="W16">
        <f t="shared" si="20"/>
        <v>1.2471457854714594E-2</v>
      </c>
      <c r="X16">
        <f t="shared" si="21"/>
        <v>9.8236714178674966E-2</v>
      </c>
      <c r="Z16">
        <f>(0.0601+0.0609)/2</f>
        <v>6.0499999999999998E-2</v>
      </c>
      <c r="AA16">
        <f t="shared" si="8"/>
        <v>3.1799379524301963E-4</v>
      </c>
      <c r="AB16">
        <f t="shared" si="9"/>
        <v>9.5398138572905884E-4</v>
      </c>
      <c r="AC16">
        <f t="shared" si="22"/>
        <v>1.7352820318211479E-2</v>
      </c>
      <c r="AD16">
        <f t="shared" si="23"/>
        <v>9.9890466913493986E-2</v>
      </c>
      <c r="AF16">
        <f>(0.0748+0.0847)/2</f>
        <v>7.9750000000000001E-2</v>
      </c>
      <c r="AG16">
        <f t="shared" si="10"/>
        <v>4.1752843846949326E-4</v>
      </c>
      <c r="AH16">
        <f t="shared" si="11"/>
        <v>1.2525853154084798E-3</v>
      </c>
      <c r="AI16">
        <f t="shared" si="24"/>
        <v>2.2784394157651659E-2</v>
      </c>
      <c r="AJ16">
        <f t="shared" si="25"/>
        <v>0.12843908632276205</v>
      </c>
      <c r="AK16" s="3">
        <f t="shared" si="26"/>
        <v>0.10885542247164366</v>
      </c>
      <c r="AL16">
        <v>14</v>
      </c>
      <c r="AM16">
        <f t="shared" si="12"/>
        <v>4.3980465111040062E-2</v>
      </c>
    </row>
    <row r="17" spans="1:39">
      <c r="A17">
        <v>276</v>
      </c>
      <c r="B17">
        <f>(0.1482+0.1475)/2</f>
        <v>0.14784999999999998</v>
      </c>
      <c r="C17">
        <f t="shared" si="0"/>
        <v>7.696483971044466E-4</v>
      </c>
      <c r="D17">
        <f t="shared" si="1"/>
        <v>2.3089451913133395E-3</v>
      </c>
      <c r="E17">
        <f t="shared" si="13"/>
        <v>5.2499335454588986E-2</v>
      </c>
      <c r="F17">
        <f t="shared" si="14"/>
        <v>0.26213977886821987</v>
      </c>
      <c r="H17">
        <f>(0.1356+0.1355)/2</f>
        <v>0.13555</v>
      </c>
      <c r="I17">
        <f t="shared" si="2"/>
        <v>7.060496380558428E-4</v>
      </c>
      <c r="J17">
        <f t="shared" si="3"/>
        <v>2.1181489141675284E-3</v>
      </c>
      <c r="K17">
        <f t="shared" si="15"/>
        <v>4.8161130375036131E-2</v>
      </c>
      <c r="L17">
        <f t="shared" si="16"/>
        <v>0.2675618354168674</v>
      </c>
      <c r="N17">
        <f>(0.1335+0.1342)/2</f>
        <v>0.13385000000000002</v>
      </c>
      <c r="O17">
        <f t="shared" si="4"/>
        <v>6.9725956566701148E-4</v>
      </c>
      <c r="P17">
        <f t="shared" si="5"/>
        <v>2.0917786970010344E-3</v>
      </c>
      <c r="Q17">
        <f t="shared" si="17"/>
        <v>4.7561541055097939E-2</v>
      </c>
      <c r="R17">
        <f t="shared" si="18"/>
        <v>0.22648352883379971</v>
      </c>
      <c r="S17" s="3">
        <f t="shared" si="19"/>
        <v>0.25206171437296232</v>
      </c>
      <c r="T17">
        <f>(0.0349+0.035)/2</f>
        <v>3.4950000000000002E-2</v>
      </c>
      <c r="U17">
        <f t="shared" si="6"/>
        <v>1.858841778697001E-4</v>
      </c>
      <c r="V17">
        <f t="shared" si="7"/>
        <v>5.5765253360910022E-4</v>
      </c>
      <c r="W17">
        <f t="shared" si="20"/>
        <v>1.2679550618693143E-2</v>
      </c>
      <c r="X17">
        <f t="shared" si="21"/>
        <v>9.8236714178674966E-2</v>
      </c>
      <c r="Z17">
        <f>(0.0464+0.0463)/2</f>
        <v>4.6350000000000002E-2</v>
      </c>
      <c r="AA17">
        <f t="shared" si="8"/>
        <v>2.4482936918304032E-4</v>
      </c>
      <c r="AB17">
        <f t="shared" si="9"/>
        <v>7.3448810754912091E-4</v>
      </c>
      <c r="AC17">
        <f t="shared" si="22"/>
        <v>1.6700326058278731E-2</v>
      </c>
      <c r="AD17">
        <f t="shared" si="23"/>
        <v>9.9890466913493986E-2</v>
      </c>
      <c r="AF17">
        <f>(0.0606+0.0607)/2</f>
        <v>6.0649999999999996E-2</v>
      </c>
      <c r="AG17">
        <f t="shared" si="10"/>
        <v>3.1876938986556355E-4</v>
      </c>
      <c r="AH17">
        <f t="shared" si="11"/>
        <v>9.5630816959669065E-4</v>
      </c>
      <c r="AI17">
        <f t="shared" si="24"/>
        <v>2.1743930337758895E-2</v>
      </c>
      <c r="AJ17">
        <f t="shared" si="25"/>
        <v>0.12843908632276205</v>
      </c>
      <c r="AK17" s="3">
        <f t="shared" si="26"/>
        <v>0.10885542247164366</v>
      </c>
      <c r="AL17">
        <v>15</v>
      </c>
      <c r="AM17">
        <f t="shared" si="12"/>
        <v>3.5184372088832058E-2</v>
      </c>
    </row>
    <row r="18" spans="1:39">
      <c r="A18">
        <v>305</v>
      </c>
      <c r="B18">
        <v>0.1186</v>
      </c>
      <c r="C18">
        <f t="shared" si="0"/>
        <v>6.1840744570837642E-4</v>
      </c>
      <c r="D18">
        <f t="shared" si="1"/>
        <v>1.8552223371251291E-3</v>
      </c>
      <c r="E18">
        <f t="shared" si="13"/>
        <v>5.2728590194565356E-2</v>
      </c>
      <c r="F18">
        <f t="shared" si="14"/>
        <v>0.26213977886821987</v>
      </c>
      <c r="H18">
        <v>0.1125</v>
      </c>
      <c r="I18">
        <f t="shared" si="2"/>
        <v>5.8686659772492242E-4</v>
      </c>
      <c r="J18">
        <f t="shared" si="3"/>
        <v>1.7605997931747672E-3</v>
      </c>
      <c r="K18">
        <f t="shared" si="15"/>
        <v>5.0039255744842547E-2</v>
      </c>
      <c r="L18">
        <f t="shared" si="16"/>
        <v>0.27799586524912528</v>
      </c>
      <c r="N18">
        <v>0.11890000000000001</v>
      </c>
      <c r="O18">
        <f t="shared" si="4"/>
        <v>6.1995863495346436E-4</v>
      </c>
      <c r="P18">
        <f t="shared" si="5"/>
        <v>1.859875904860393E-3</v>
      </c>
      <c r="Q18">
        <f t="shared" si="17"/>
        <v>5.286085254455173E-2</v>
      </c>
      <c r="R18">
        <f t="shared" si="18"/>
        <v>0.25171834545024635</v>
      </c>
      <c r="S18" s="3">
        <f t="shared" si="19"/>
        <v>0.26395132985586384</v>
      </c>
      <c r="T18">
        <v>2.7699999999999999E-2</v>
      </c>
      <c r="U18">
        <f t="shared" si="6"/>
        <v>1.483971044467425E-4</v>
      </c>
      <c r="V18">
        <f t="shared" si="7"/>
        <v>4.4519131334022746E-4</v>
      </c>
      <c r="W18">
        <f t="shared" si="20"/>
        <v>1.2653098148695868E-2</v>
      </c>
      <c r="X18">
        <f t="shared" si="21"/>
        <v>9.8236714178674966E-2</v>
      </c>
      <c r="Z18">
        <v>3.5200000000000002E-2</v>
      </c>
      <c r="AA18">
        <f t="shared" si="8"/>
        <v>1.8717683557394003E-4</v>
      </c>
      <c r="AB18">
        <f t="shared" si="9"/>
        <v>5.6153050672182007E-4</v>
      </c>
      <c r="AC18">
        <f t="shared" si="22"/>
        <v>1.5959656898355067E-2</v>
      </c>
      <c r="AD18">
        <f t="shared" si="23"/>
        <v>9.9890466913493986E-2</v>
      </c>
      <c r="AF18">
        <v>4.9799999999999997E-2</v>
      </c>
      <c r="AG18">
        <f t="shared" si="10"/>
        <v>2.6266804550155118E-4</v>
      </c>
      <c r="AH18">
        <f t="shared" si="11"/>
        <v>7.8800413650465353E-4</v>
      </c>
      <c r="AI18">
        <f t="shared" si="24"/>
        <v>2.2396424597691641E-2</v>
      </c>
      <c r="AJ18">
        <f t="shared" si="25"/>
        <v>0.12843908632276205</v>
      </c>
      <c r="AK18" s="3">
        <f t="shared" si="26"/>
        <v>0.10885542247164366</v>
      </c>
      <c r="AL18">
        <v>16</v>
      </c>
      <c r="AM18">
        <f t="shared" si="12"/>
        <v>2.8147497671065648E-2</v>
      </c>
    </row>
    <row r="19" spans="1:39">
      <c r="A19">
        <v>376</v>
      </c>
      <c r="B19">
        <v>8.8499999999999995E-2</v>
      </c>
      <c r="C19">
        <f t="shared" si="0"/>
        <v>4.6277145811789036E-4</v>
      </c>
      <c r="D19">
        <f t="shared" si="1"/>
        <v>1.388314374353671E-3</v>
      </c>
      <c r="E19">
        <f t="shared" si="13"/>
        <v>4.9322834682416376E-2</v>
      </c>
      <c r="F19">
        <f t="shared" si="14"/>
        <v>0.26213977886821987</v>
      </c>
      <c r="H19">
        <v>0.1099</v>
      </c>
      <c r="I19">
        <f t="shared" si="2"/>
        <v>5.7342295760082727E-4</v>
      </c>
      <c r="J19">
        <f t="shared" si="3"/>
        <v>1.7202688728024816E-3</v>
      </c>
      <c r="K19">
        <f t="shared" si="15"/>
        <v>6.1116227556200851E-2</v>
      </c>
      <c r="L19">
        <f t="shared" si="16"/>
        <v>0.3395345975344492</v>
      </c>
      <c r="N19">
        <v>0.1021</v>
      </c>
      <c r="O19">
        <f t="shared" si="4"/>
        <v>5.3309203722854185E-4</v>
      </c>
      <c r="P19">
        <f t="shared" si="5"/>
        <v>1.5992761116856253E-3</v>
      </c>
      <c r="Q19">
        <f t="shared" si="17"/>
        <v>5.6817701181643893E-2</v>
      </c>
      <c r="R19">
        <f t="shared" si="18"/>
        <v>0.27056048181735187</v>
      </c>
      <c r="S19" s="3">
        <f t="shared" si="19"/>
        <v>0.290744952740007</v>
      </c>
      <c r="T19">
        <v>2.0500000000000001E-2</v>
      </c>
      <c r="U19">
        <f t="shared" si="6"/>
        <v>1.1116856256463289E-4</v>
      </c>
      <c r="V19">
        <f t="shared" si="7"/>
        <v>3.3350568769389863E-4</v>
      </c>
      <c r="W19">
        <f t="shared" si="20"/>
        <v>1.1848502186278795E-2</v>
      </c>
      <c r="X19">
        <f t="shared" si="21"/>
        <v>9.8236714178674966E-2</v>
      </c>
      <c r="Z19">
        <v>2.7099999999999999E-2</v>
      </c>
      <c r="AA19">
        <f t="shared" si="8"/>
        <v>1.4529472595656669E-4</v>
      </c>
      <c r="AB19">
        <f t="shared" si="9"/>
        <v>4.3588417786970008E-4</v>
      </c>
      <c r="AC19">
        <f t="shared" si="22"/>
        <v>1.5485716810903914E-2</v>
      </c>
      <c r="AD19">
        <f t="shared" si="23"/>
        <v>9.9890466913493986E-2</v>
      </c>
      <c r="AF19">
        <v>4.1099999999999998E-2</v>
      </c>
      <c r="AG19">
        <f t="shared" si="10"/>
        <v>2.1768355739400206E-4</v>
      </c>
      <c r="AH19">
        <f t="shared" si="11"/>
        <v>6.5305067218200609E-4</v>
      </c>
      <c r="AI19">
        <f t="shared" si="24"/>
        <v>2.3201020560108709E-2</v>
      </c>
      <c r="AJ19">
        <f t="shared" si="25"/>
        <v>0.12843908632276205</v>
      </c>
      <c r="AK19" s="3">
        <f t="shared" si="26"/>
        <v>0.10885542247164366</v>
      </c>
      <c r="AL19">
        <v>17</v>
      </c>
      <c r="AM19">
        <f t="shared" si="12"/>
        <v>2.251799813685252E-2</v>
      </c>
    </row>
    <row r="20" spans="1:39">
      <c r="A20">
        <v>408.5</v>
      </c>
      <c r="B20">
        <v>8.9599999999999999E-2</v>
      </c>
      <c r="C20">
        <f t="shared" si="0"/>
        <v>4.6845915201654601E-4</v>
      </c>
      <c r="D20">
        <f t="shared" si="1"/>
        <v>1.4053774560496379E-3</v>
      </c>
      <c r="E20">
        <f t="shared" si="13"/>
        <v>6.2411296399817372E-2</v>
      </c>
      <c r="F20">
        <f t="shared" si="14"/>
        <v>0.29719664952293989</v>
      </c>
      <c r="H20">
        <v>0.10730000000000001</v>
      </c>
      <c r="I20">
        <f t="shared" si="2"/>
        <v>5.5997931747673213E-4</v>
      </c>
      <c r="J20">
        <f t="shared" si="3"/>
        <v>1.6799379524301964E-3</v>
      </c>
      <c r="K20">
        <f t="shared" si="15"/>
        <v>7.4604231789185668E-2</v>
      </c>
      <c r="L20">
        <f t="shared" si="16"/>
        <v>0.41446795438436485</v>
      </c>
      <c r="N20">
        <v>9.2100000000000001E-2</v>
      </c>
      <c r="O20">
        <f t="shared" si="4"/>
        <v>4.8138572905894519E-4</v>
      </c>
      <c r="P20">
        <f t="shared" si="5"/>
        <v>1.4441571871768354E-3</v>
      </c>
      <c r="Q20">
        <f t="shared" si="17"/>
        <v>6.4133462415264866E-2</v>
      </c>
      <c r="R20">
        <f t="shared" si="18"/>
        <v>0.30539744007268987</v>
      </c>
      <c r="S20" s="3">
        <f t="shared" si="19"/>
        <v>0.3390206813266648</v>
      </c>
      <c r="T20">
        <v>1.5100000000000001E-2</v>
      </c>
      <c r="U20">
        <f t="shared" si="6"/>
        <v>8.3247156153050666E-5</v>
      </c>
      <c r="V20">
        <f t="shared" si="7"/>
        <v>2.49741468459152E-4</v>
      </c>
      <c r="W20">
        <f t="shared" si="20"/>
        <v>1.1090749139481895E-2</v>
      </c>
      <c r="X20">
        <f t="shared" si="21"/>
        <v>9.8236714178674966E-2</v>
      </c>
      <c r="Z20">
        <v>2.3199999999999998E-2</v>
      </c>
      <c r="AA20">
        <f t="shared" si="8"/>
        <v>1.2512926577042398E-4</v>
      </c>
      <c r="AB20">
        <f t="shared" si="9"/>
        <v>3.7538779731127189E-4</v>
      </c>
      <c r="AC20">
        <f t="shared" si="22"/>
        <v>1.6670567029531791E-2</v>
      </c>
      <c r="AD20">
        <f t="shared" si="23"/>
        <v>9.9890466913493986E-2</v>
      </c>
      <c r="AF20">
        <v>4.02E-2</v>
      </c>
      <c r="AG20">
        <f t="shared" si="10"/>
        <v>2.1302998965873836E-4</v>
      </c>
      <c r="AH20">
        <f t="shared" si="11"/>
        <v>6.3908996897621504E-4</v>
      </c>
      <c r="AI20">
        <f t="shared" si="24"/>
        <v>2.8381295934574786E-2</v>
      </c>
      <c r="AJ20">
        <f t="shared" si="25"/>
        <v>0.14190647967287393</v>
      </c>
      <c r="AK20" s="3">
        <f t="shared" si="26"/>
        <v>0.11334455358834762</v>
      </c>
      <c r="AL20">
        <v>18</v>
      </c>
      <c r="AM20">
        <f t="shared" si="12"/>
        <v>1.8014398509482017E-2</v>
      </c>
    </row>
    <row r="21" spans="1:39">
      <c r="A21">
        <v>452</v>
      </c>
      <c r="B21">
        <v>7.9699999999999993E-2</v>
      </c>
      <c r="C21">
        <f t="shared" si="0"/>
        <v>4.1726990692864525E-4</v>
      </c>
      <c r="D21">
        <f t="shared" si="1"/>
        <v>1.2518097207859357E-3</v>
      </c>
      <c r="E21">
        <f t="shared" si="13"/>
        <v>6.9489398723306589E-2</v>
      </c>
      <c r="F21">
        <f t="shared" si="14"/>
        <v>0.33090189868241232</v>
      </c>
      <c r="H21">
        <v>7.6499999999999999E-2</v>
      </c>
      <c r="I21">
        <f t="shared" si="2"/>
        <v>4.0072388831437433E-4</v>
      </c>
      <c r="J21">
        <f t="shared" si="3"/>
        <v>1.2021716649431228E-3</v>
      </c>
      <c r="K21">
        <f t="shared" si="15"/>
        <v>6.6733933098590589E-2</v>
      </c>
      <c r="L21">
        <f t="shared" si="16"/>
        <v>0.41446795438436485</v>
      </c>
      <c r="N21">
        <v>6.9800000000000001E-2</v>
      </c>
      <c r="O21">
        <f t="shared" si="4"/>
        <v>3.6608066184074455E-4</v>
      </c>
      <c r="P21">
        <f t="shared" si="5"/>
        <v>1.0982419855222335E-3</v>
      </c>
      <c r="Q21">
        <f t="shared" si="17"/>
        <v>6.0964676946841462E-2</v>
      </c>
      <c r="R21">
        <f t="shared" si="18"/>
        <v>0.30539744007268987</v>
      </c>
      <c r="S21" s="3">
        <f t="shared" si="19"/>
        <v>0.35025576437982231</v>
      </c>
      <c r="T21">
        <v>1.09E-2</v>
      </c>
      <c r="U21">
        <f t="shared" si="6"/>
        <v>6.1530506721820064E-5</v>
      </c>
      <c r="V21">
        <f t="shared" si="7"/>
        <v>1.8459152016546019E-4</v>
      </c>
      <c r="W21">
        <f t="shared" si="20"/>
        <v>1.0246887791912622E-2</v>
      </c>
      <c r="X21">
        <f t="shared" si="21"/>
        <v>9.8236714178674966E-2</v>
      </c>
      <c r="Z21">
        <v>1.6400000000000001E-2</v>
      </c>
      <c r="AA21">
        <f t="shared" si="8"/>
        <v>8.996897621509825E-5</v>
      </c>
      <c r="AB21">
        <f t="shared" si="9"/>
        <v>2.6990692864529471E-4</v>
      </c>
      <c r="AC21">
        <f t="shared" si="22"/>
        <v>1.4982844334393243E-2</v>
      </c>
      <c r="AD21">
        <f t="shared" si="23"/>
        <v>9.9890466913493986E-2</v>
      </c>
      <c r="AF21">
        <v>4.4359999999999997E-2</v>
      </c>
      <c r="AG21">
        <f t="shared" si="10"/>
        <v>2.3453981385729056E-4</v>
      </c>
      <c r="AH21">
        <f t="shared" si="11"/>
        <v>7.0361944157187157E-4</v>
      </c>
      <c r="AI21">
        <f t="shared" si="24"/>
        <v>3.905872523034927E-2</v>
      </c>
      <c r="AJ21">
        <f t="shared" si="25"/>
        <v>0.19529362615174634</v>
      </c>
      <c r="AK21" s="3">
        <f t="shared" si="26"/>
        <v>0.13114026908130508</v>
      </c>
      <c r="AL21">
        <v>19</v>
      </c>
      <c r="AM21">
        <f t="shared" si="12"/>
        <v>1.4411518807585615E-2</v>
      </c>
    </row>
    <row r="22" spans="1:39">
      <c r="A22">
        <v>500</v>
      </c>
      <c r="B22">
        <v>6.8699999999999997E-2</v>
      </c>
      <c r="C22">
        <f t="shared" si="0"/>
        <v>3.6039296794208891E-4</v>
      </c>
      <c r="D22">
        <f t="shared" si="1"/>
        <v>1.0811789038262666E-3</v>
      </c>
      <c r="E22">
        <f t="shared" si="13"/>
        <v>7.502185704793167E-2</v>
      </c>
      <c r="F22">
        <f t="shared" si="14"/>
        <v>0.35724693832348414</v>
      </c>
      <c r="H22">
        <v>6.83E-2</v>
      </c>
      <c r="I22">
        <f t="shared" si="2"/>
        <v>3.5832471561530506E-4</v>
      </c>
      <c r="J22">
        <f t="shared" si="3"/>
        <v>1.0749741468459152E-3</v>
      </c>
      <c r="K22">
        <f t="shared" si="15"/>
        <v>7.4591315544069808E-2</v>
      </c>
      <c r="L22">
        <f t="shared" si="16"/>
        <v>0.41446795438436485</v>
      </c>
      <c r="N22">
        <v>7.2300000000000003E-2</v>
      </c>
      <c r="O22">
        <f t="shared" si="4"/>
        <v>3.7900723888314373E-4</v>
      </c>
      <c r="P22">
        <f t="shared" si="5"/>
        <v>1.137021716649431E-3</v>
      </c>
      <c r="Q22">
        <f t="shared" si="17"/>
        <v>7.8896730582688535E-2</v>
      </c>
      <c r="R22">
        <f t="shared" si="18"/>
        <v>0.37569871706042163</v>
      </c>
      <c r="S22" s="3">
        <f t="shared" si="19"/>
        <v>0.38247120325609019</v>
      </c>
      <c r="T22">
        <v>9.7999999999999997E-3</v>
      </c>
      <c r="U22">
        <f t="shared" si="6"/>
        <v>5.5842812823164426E-5</v>
      </c>
      <c r="V22">
        <f t="shared" si="7"/>
        <v>1.6752843846949326E-4</v>
      </c>
      <c r="W22">
        <f t="shared" si="20"/>
        <v>1.1624620604270618E-2</v>
      </c>
      <c r="X22">
        <f t="shared" si="21"/>
        <v>9.8236714178674966E-2</v>
      </c>
      <c r="Z22">
        <v>1.7600000000000001E-2</v>
      </c>
      <c r="AA22">
        <f t="shared" si="8"/>
        <v>9.6173733195449858E-5</v>
      </c>
      <c r="AB22">
        <f t="shared" si="9"/>
        <v>2.8852119958634953E-4</v>
      </c>
      <c r="AC22">
        <f t="shared" si="22"/>
        <v>2.0020179929577178E-2</v>
      </c>
      <c r="AD22">
        <f t="shared" si="23"/>
        <v>0.1053693680504062</v>
      </c>
      <c r="AF22">
        <v>3.7900000000000003E-2</v>
      </c>
      <c r="AG22">
        <f t="shared" si="10"/>
        <v>2.0113753877973114E-4</v>
      </c>
      <c r="AH22">
        <f t="shared" si="11"/>
        <v>6.0341261633919333E-4</v>
      </c>
      <c r="AI22">
        <f t="shared" si="24"/>
        <v>4.187016125056732E-2</v>
      </c>
      <c r="AJ22">
        <f t="shared" si="25"/>
        <v>0.20935080625283659</v>
      </c>
      <c r="AK22" s="3">
        <f t="shared" si="26"/>
        <v>0.13765229616063926</v>
      </c>
      <c r="AL22">
        <v>20</v>
      </c>
      <c r="AM22">
        <f t="shared" si="12"/>
        <v>1.1529215046068495E-2</v>
      </c>
    </row>
    <row r="23" spans="1:39">
      <c r="A23">
        <v>548</v>
      </c>
      <c r="B23">
        <v>6.5299999999999997E-2</v>
      </c>
      <c r="C23">
        <f t="shared" si="0"/>
        <v>3.4281282316442606E-4</v>
      </c>
      <c r="D23">
        <f t="shared" si="1"/>
        <v>1.028438469493278E-3</v>
      </c>
      <c r="E23">
        <f t="shared" si="13"/>
        <v>8.9202817831382147E-2</v>
      </c>
      <c r="F23">
        <f t="shared" si="14"/>
        <v>0.42477532300658166</v>
      </c>
      <c r="H23">
        <v>5.3199999999999997E-2</v>
      </c>
      <c r="I23">
        <f t="shared" si="2"/>
        <v>2.8024819027921402E-4</v>
      </c>
      <c r="J23">
        <f t="shared" si="3"/>
        <v>8.4074457083764195E-4</v>
      </c>
      <c r="K23">
        <f t="shared" si="15"/>
        <v>7.2922967216605003E-2</v>
      </c>
      <c r="L23">
        <f t="shared" si="16"/>
        <v>0.41446795438436485</v>
      </c>
      <c r="N23">
        <v>6.3100000000000003E-2</v>
      </c>
      <c r="O23">
        <f t="shared" si="4"/>
        <v>3.3143743536711477E-4</v>
      </c>
      <c r="P23">
        <f t="shared" si="5"/>
        <v>9.9431230610134416E-4</v>
      </c>
      <c r="Q23">
        <f t="shared" si="17"/>
        <v>8.6242844992331744E-2</v>
      </c>
      <c r="R23">
        <f t="shared" si="18"/>
        <v>0.41068021424919882</v>
      </c>
      <c r="S23" s="3">
        <f t="shared" si="19"/>
        <v>0.41664116388004846</v>
      </c>
      <c r="T23">
        <v>7.9000000000000008E-3</v>
      </c>
      <c r="U23">
        <f t="shared" si="6"/>
        <v>4.6018614270941064E-5</v>
      </c>
      <c r="V23">
        <f t="shared" si="7"/>
        <v>1.3805584281282319E-4</v>
      </c>
      <c r="W23">
        <f t="shared" si="20"/>
        <v>1.197443557615839E-2</v>
      </c>
      <c r="X23">
        <f t="shared" si="21"/>
        <v>9.8236714178674966E-2</v>
      </c>
      <c r="Z23">
        <v>1.6899999999999998E-2</v>
      </c>
      <c r="AA23">
        <f t="shared" si="8"/>
        <v>9.2554291623578064E-5</v>
      </c>
      <c r="AB23">
        <f t="shared" si="9"/>
        <v>2.7766287487073415E-4</v>
      </c>
      <c r="AC23">
        <f t="shared" si="22"/>
        <v>2.4083415372273608E-2</v>
      </c>
      <c r="AD23">
        <f t="shared" si="23"/>
        <v>0.12675481774880845</v>
      </c>
      <c r="AF23">
        <v>3.1649999999999998E-2</v>
      </c>
      <c r="AG23">
        <f t="shared" si="10"/>
        <v>1.6882109617373319E-4</v>
      </c>
      <c r="AH23">
        <f t="shared" si="11"/>
        <v>5.0646328852119952E-4</v>
      </c>
      <c r="AI23">
        <f t="shared" si="24"/>
        <v>4.3928687815906892E-2</v>
      </c>
      <c r="AJ23">
        <f t="shared" si="25"/>
        <v>0.21964343907953446</v>
      </c>
      <c r="AK23" s="3">
        <f t="shared" si="26"/>
        <v>0.14821165700233929</v>
      </c>
      <c r="AL23">
        <v>21</v>
      </c>
      <c r="AM23">
        <f t="shared" si="12"/>
        <v>9.2233720368547975E-3</v>
      </c>
    </row>
    <row r="24" spans="1:39">
      <c r="A24">
        <v>620</v>
      </c>
      <c r="B24">
        <v>7.9899999999999999E-2</v>
      </c>
      <c r="C24">
        <f t="shared" si="0"/>
        <v>4.1830403309203723E-4</v>
      </c>
      <c r="D24">
        <f t="shared" si="1"/>
        <v>1.2549120992761116E-3</v>
      </c>
      <c r="E24">
        <f t="shared" si="13"/>
        <v>0.13605784243135022</v>
      </c>
      <c r="F24">
        <f t="shared" si="14"/>
        <v>0.64789448776833436</v>
      </c>
      <c r="H24">
        <v>6.8699999999999997E-2</v>
      </c>
      <c r="I24">
        <f t="shared" si="2"/>
        <v>3.6039296794208891E-4</v>
      </c>
      <c r="J24">
        <f t="shared" si="3"/>
        <v>1.0811789038262666E-3</v>
      </c>
      <c r="K24">
        <f t="shared" si="15"/>
        <v>0.11722165163739318</v>
      </c>
      <c r="L24">
        <f t="shared" si="16"/>
        <v>0.65123139798551766</v>
      </c>
      <c r="N24">
        <v>7.0199999999999999E-2</v>
      </c>
      <c r="O24">
        <f t="shared" si="4"/>
        <v>3.6814891416752841E-4</v>
      </c>
      <c r="P24">
        <f t="shared" si="5"/>
        <v>1.1044467425025851E-3</v>
      </c>
      <c r="Q24">
        <f t="shared" si="17"/>
        <v>0.11974435576158385</v>
      </c>
      <c r="R24">
        <f t="shared" si="18"/>
        <v>0.57021121791230411</v>
      </c>
      <c r="S24" s="3">
        <f t="shared" si="19"/>
        <v>0.62311236788871882</v>
      </c>
      <c r="T24">
        <v>6.2300000000000003E-3</v>
      </c>
      <c r="U24">
        <f t="shared" si="6"/>
        <v>3.7383660806618406E-5</v>
      </c>
      <c r="V24">
        <f t="shared" si="7"/>
        <v>1.1215098241985521E-4</v>
      </c>
      <c r="W24">
        <f t="shared" si="20"/>
        <v>1.2159433878599035E-2</v>
      </c>
      <c r="X24">
        <f t="shared" si="21"/>
        <v>9.8236714178674966E-2</v>
      </c>
      <c r="Z24">
        <v>1.5800000000000002E-2</v>
      </c>
      <c r="AA24">
        <f t="shared" si="8"/>
        <v>8.6866597724922446E-5</v>
      </c>
      <c r="AB24">
        <f t="shared" si="9"/>
        <v>2.6059979317476732E-4</v>
      </c>
      <c r="AC24">
        <f t="shared" si="22"/>
        <v>2.8254286190935521E-2</v>
      </c>
      <c r="AD24">
        <f t="shared" si="23"/>
        <v>0.14870676942597644</v>
      </c>
      <c r="AF24">
        <v>2.9790000000000001E-2</v>
      </c>
      <c r="AG24">
        <f t="shared" si="10"/>
        <v>1.5920372285418822E-4</v>
      </c>
      <c r="AH24">
        <f t="shared" si="11"/>
        <v>4.7761116856256464E-4</v>
      </c>
      <c r="AI24">
        <f t="shared" si="24"/>
        <v>5.1782706655887183E-2</v>
      </c>
      <c r="AJ24">
        <f t="shared" si="25"/>
        <v>0.25891353327943589</v>
      </c>
      <c r="AK24" s="3">
        <f t="shared" si="26"/>
        <v>0.16861900562802909</v>
      </c>
      <c r="AL24">
        <v>22</v>
      </c>
      <c r="AM24">
        <f t="shared" si="12"/>
        <v>7.3786976294838375E-3</v>
      </c>
    </row>
    <row r="25" spans="1:39">
      <c r="A25">
        <v>716</v>
      </c>
      <c r="B25">
        <v>7.1900000000000006E-2</v>
      </c>
      <c r="C25">
        <f t="shared" si="0"/>
        <v>3.7693898655635988E-4</v>
      </c>
      <c r="D25">
        <f t="shared" si="1"/>
        <v>1.1308169596690796E-3</v>
      </c>
      <c r="E25">
        <f t="shared" si="13"/>
        <v>0.15325427554458329</v>
      </c>
      <c r="F25">
        <f t="shared" si="14"/>
        <v>0.72978226449801564</v>
      </c>
      <c r="H25">
        <v>7.2300000000000003E-2</v>
      </c>
      <c r="I25">
        <f t="shared" si="2"/>
        <v>3.7900723888314373E-4</v>
      </c>
      <c r="J25">
        <f t="shared" si="3"/>
        <v>1.137021716649431E-3</v>
      </c>
      <c r="K25">
        <f t="shared" si="15"/>
        <v>0.15409517691931349</v>
      </c>
      <c r="L25">
        <f t="shared" si="16"/>
        <v>0.8560843162184083</v>
      </c>
      <c r="N25">
        <v>7.7899999999999997E-2</v>
      </c>
      <c r="O25">
        <f t="shared" si="4"/>
        <v>4.0796277145811787E-4</v>
      </c>
      <c r="P25">
        <f t="shared" si="5"/>
        <v>1.2238883143743536E-3</v>
      </c>
      <c r="Q25">
        <f t="shared" si="17"/>
        <v>0.16586779616553665</v>
      </c>
      <c r="R25">
        <f t="shared" si="18"/>
        <v>0.78984664840731744</v>
      </c>
      <c r="S25" s="3">
        <f t="shared" si="19"/>
        <v>0.79190440970791387</v>
      </c>
      <c r="T25">
        <v>5.8900000000000003E-3</v>
      </c>
      <c r="U25">
        <f t="shared" si="6"/>
        <v>3.5625646328852118E-5</v>
      </c>
      <c r="V25">
        <f t="shared" si="7"/>
        <v>1.0687693898655634E-4</v>
      </c>
      <c r="W25">
        <f t="shared" si="20"/>
        <v>1.4484526179728103E-2</v>
      </c>
      <c r="X25">
        <f t="shared" si="21"/>
        <v>9.8236714178674966E-2</v>
      </c>
      <c r="Z25">
        <v>1.489E-2</v>
      </c>
      <c r="AA25">
        <f t="shared" si="8"/>
        <v>8.2161323681489152E-5</v>
      </c>
      <c r="AB25">
        <f t="shared" si="9"/>
        <v>2.4648397104446747E-4</v>
      </c>
      <c r="AC25">
        <f t="shared" si="22"/>
        <v>3.3404807111158147E-2</v>
      </c>
      <c r="AD25">
        <f t="shared" si="23"/>
        <v>0.1758147742692534</v>
      </c>
      <c r="AF25">
        <v>2.1864999999999999E-2</v>
      </c>
      <c r="AG25">
        <f t="shared" si="10"/>
        <v>1.1822647362978283E-4</v>
      </c>
      <c r="AH25">
        <f t="shared" si="11"/>
        <v>3.5467942088934849E-4</v>
      </c>
      <c r="AI25">
        <f t="shared" si="24"/>
        <v>4.8068024833016421E-2</v>
      </c>
      <c r="AJ25">
        <f t="shared" si="25"/>
        <v>0.25891353327943589</v>
      </c>
      <c r="AK25" s="3">
        <f t="shared" si="26"/>
        <v>0.17765500724245475</v>
      </c>
      <c r="AL25">
        <v>23</v>
      </c>
      <c r="AM25">
        <f t="shared" si="12"/>
        <v>5.902958103587071E-3</v>
      </c>
    </row>
    <row r="26" spans="1:39">
      <c r="A26">
        <v>788</v>
      </c>
      <c r="B26">
        <v>6.9800000000000001E-2</v>
      </c>
      <c r="C26">
        <f t="shared" si="0"/>
        <v>3.6608066184074455E-4</v>
      </c>
      <c r="D26">
        <f t="shared" si="1"/>
        <v>1.0982419855222335E-3</v>
      </c>
      <c r="E26">
        <f t="shared" si="13"/>
        <v>0.18604942915906195</v>
      </c>
      <c r="F26">
        <f t="shared" si="14"/>
        <v>0.88594966266219977</v>
      </c>
      <c r="H26">
        <v>6.3200000000000006E-2</v>
      </c>
      <c r="I26">
        <f t="shared" si="2"/>
        <v>3.3195449844881079E-4</v>
      </c>
      <c r="J26">
        <f t="shared" si="3"/>
        <v>9.9586349534643232E-4</v>
      </c>
      <c r="K26">
        <f t="shared" si="15"/>
        <v>0.16870583830525113</v>
      </c>
      <c r="L26">
        <f t="shared" si="16"/>
        <v>0.93725465725139523</v>
      </c>
      <c r="N26">
        <v>6.6720000000000002E-2</v>
      </c>
      <c r="O26">
        <f t="shared" si="4"/>
        <v>3.501551189245088E-4</v>
      </c>
      <c r="P26">
        <f t="shared" si="5"/>
        <v>1.0504653567735263E-3</v>
      </c>
      <c r="Q26">
        <f t="shared" si="17"/>
        <v>0.17795575342728359</v>
      </c>
      <c r="R26">
        <f t="shared" si="18"/>
        <v>0.84740834965373146</v>
      </c>
      <c r="S26" s="3">
        <f t="shared" si="19"/>
        <v>0.89020422318910875</v>
      </c>
      <c r="T26">
        <v>4.8199999999999996E-3</v>
      </c>
      <c r="U26">
        <f t="shared" si="6"/>
        <v>3.0093071354705271E-5</v>
      </c>
      <c r="V26">
        <f t="shared" si="7"/>
        <v>9.0279214064115806E-5</v>
      </c>
      <c r="W26">
        <f t="shared" si="20"/>
        <v>1.5293893752905942E-2</v>
      </c>
      <c r="X26">
        <f t="shared" si="21"/>
        <v>0.10195929168603962</v>
      </c>
      <c r="Z26">
        <v>1.4197E-2</v>
      </c>
      <c r="AA26">
        <f t="shared" si="8"/>
        <v>7.8578076525336082E-5</v>
      </c>
      <c r="AB26">
        <f t="shared" si="9"/>
        <v>2.3573422957600822E-4</v>
      </c>
      <c r="AC26">
        <f t="shared" si="22"/>
        <v>3.9934931849297521E-2</v>
      </c>
      <c r="AD26">
        <f t="shared" si="23"/>
        <v>0.21018385183840801</v>
      </c>
      <c r="AF26">
        <v>1.8499999999999999E-2</v>
      </c>
      <c r="AG26">
        <f t="shared" si="10"/>
        <v>1.0082730093071354E-4</v>
      </c>
      <c r="AH26">
        <f t="shared" si="11"/>
        <v>3.0248190279214058E-4</v>
      </c>
      <c r="AI26">
        <f t="shared" si="24"/>
        <v>5.1242427522623001E-2</v>
      </c>
      <c r="AJ26">
        <f t="shared" si="25"/>
        <v>0.25891353327943589</v>
      </c>
      <c r="AK26" s="3">
        <f t="shared" si="26"/>
        <v>0.1903522256012945</v>
      </c>
      <c r="AL26">
        <v>24</v>
      </c>
      <c r="AM26">
        <f t="shared" si="12"/>
        <v>4.722366482869657E-3</v>
      </c>
    </row>
    <row r="27" spans="1:39">
      <c r="A27">
        <v>860</v>
      </c>
      <c r="B27">
        <v>5.6800000000000003E-2</v>
      </c>
      <c r="C27">
        <f t="shared" si="0"/>
        <v>2.988624612202689E-4</v>
      </c>
      <c r="D27">
        <f t="shared" si="1"/>
        <v>8.9658738366080659E-4</v>
      </c>
      <c r="E27">
        <f t="shared" si="13"/>
        <v>0.1898597635133083</v>
      </c>
      <c r="F27">
        <f t="shared" si="14"/>
        <v>0.90409411196813483</v>
      </c>
      <c r="H27">
        <v>4.1020000000000001E-2</v>
      </c>
      <c r="I27">
        <f t="shared" si="2"/>
        <v>2.172699069286453E-4</v>
      </c>
      <c r="J27">
        <f t="shared" si="3"/>
        <v>6.5180972078593587E-4</v>
      </c>
      <c r="K27">
        <f t="shared" si="15"/>
        <v>0.13802607721157811</v>
      </c>
      <c r="L27">
        <f t="shared" si="16"/>
        <v>0.93725465725139523</v>
      </c>
      <c r="N27">
        <v>5.9319999999999998E-2</v>
      </c>
      <c r="O27">
        <f t="shared" si="4"/>
        <v>3.1189245087900723E-4</v>
      </c>
      <c r="P27">
        <f t="shared" si="5"/>
        <v>9.3567735263702168E-4</v>
      </c>
      <c r="Q27">
        <f t="shared" si="17"/>
        <v>0.19813738642080894</v>
      </c>
      <c r="R27">
        <f t="shared" si="18"/>
        <v>0.94351136390861401</v>
      </c>
      <c r="S27" s="3">
        <f t="shared" si="19"/>
        <v>0.92828671104271476</v>
      </c>
      <c r="T27">
        <v>4.7000000000000002E-3</v>
      </c>
      <c r="U27">
        <f t="shared" si="6"/>
        <v>2.9472595656670115E-5</v>
      </c>
      <c r="V27">
        <f t="shared" si="7"/>
        <v>8.8417786970010334E-5</v>
      </c>
      <c r="W27">
        <f t="shared" si="20"/>
        <v>1.8723194671727634E-2</v>
      </c>
      <c r="X27">
        <f t="shared" si="21"/>
        <v>0.12482129781151756</v>
      </c>
      <c r="Z27">
        <v>8.6999999999999994E-3</v>
      </c>
      <c r="AA27">
        <f t="shared" si="8"/>
        <v>5.0155118924508787E-5</v>
      </c>
      <c r="AB27">
        <f t="shared" si="9"/>
        <v>1.5046535677352635E-4</v>
      </c>
      <c r="AC27">
        <f t="shared" si="22"/>
        <v>3.1862278651887378E-2</v>
      </c>
      <c r="AD27">
        <f t="shared" si="23"/>
        <v>0.21018385183840801</v>
      </c>
      <c r="AF27">
        <v>1.3899999999999999E-2</v>
      </c>
      <c r="AG27">
        <f t="shared" si="10"/>
        <v>7.7042399172699071E-5</v>
      </c>
      <c r="AH27">
        <f t="shared" si="11"/>
        <v>2.311271975180972E-4</v>
      </c>
      <c r="AI27">
        <f t="shared" si="24"/>
        <v>4.894308782609505E-2</v>
      </c>
      <c r="AJ27">
        <f t="shared" si="25"/>
        <v>0.25891353327943589</v>
      </c>
      <c r="AK27" s="3">
        <f t="shared" si="26"/>
        <v>0.19797289430978715</v>
      </c>
      <c r="AL27">
        <v>25</v>
      </c>
      <c r="AM27">
        <f t="shared" si="12"/>
        <v>3.7778931862957259E-3</v>
      </c>
    </row>
    <row r="28" spans="1:39">
      <c r="A28">
        <v>956</v>
      </c>
      <c r="B28">
        <v>4.9700000000000001E-2</v>
      </c>
      <c r="C28">
        <f t="shared" si="0"/>
        <v>2.6215098241985521E-4</v>
      </c>
      <c r="D28">
        <f t="shared" si="1"/>
        <v>7.8645294725956558E-4</v>
      </c>
      <c r="E28">
        <f t="shared" si="13"/>
        <v>0.20817236181065593</v>
      </c>
      <c r="F28">
        <f t="shared" si="14"/>
        <v>0.99129696100312348</v>
      </c>
      <c r="H28">
        <v>3.347E-2</v>
      </c>
      <c r="I28">
        <f t="shared" si="2"/>
        <v>1.7823164426059978E-4</v>
      </c>
      <c r="J28">
        <f t="shared" si="3"/>
        <v>5.3469493278179934E-4</v>
      </c>
      <c r="K28">
        <f t="shared" si="15"/>
        <v>0.14153257024878324</v>
      </c>
      <c r="L28">
        <f t="shared" si="16"/>
        <v>0.93725465725139523</v>
      </c>
      <c r="N28">
        <v>4.2299999999999997E-2</v>
      </c>
      <c r="O28">
        <f t="shared" si="4"/>
        <v>2.2388831437435367E-4</v>
      </c>
      <c r="P28">
        <f t="shared" si="5"/>
        <v>6.7166494312306086E-4</v>
      </c>
      <c r="Q28">
        <f t="shared" si="17"/>
        <v>0.17778823010653649</v>
      </c>
      <c r="R28">
        <f t="shared" si="18"/>
        <v>0.94351136390861401</v>
      </c>
      <c r="S28" s="3">
        <f t="shared" si="19"/>
        <v>0.95735432738771087</v>
      </c>
      <c r="T28">
        <v>6.9100000000000003E-3</v>
      </c>
      <c r="U28">
        <f t="shared" si="6"/>
        <v>4.0899689762150983E-5</v>
      </c>
      <c r="V28">
        <f t="shared" si="7"/>
        <v>1.2269906928645294E-4</v>
      </c>
      <c r="W28">
        <f t="shared" si="20"/>
        <v>3.2478173213457362E-2</v>
      </c>
      <c r="X28">
        <f t="shared" si="21"/>
        <v>0.21652115475638242</v>
      </c>
      <c r="Z28">
        <v>1.0200000000000001E-2</v>
      </c>
      <c r="AA28">
        <f t="shared" si="8"/>
        <v>5.7911065149948297E-5</v>
      </c>
      <c r="AB28">
        <f t="shared" si="9"/>
        <v>1.7373319544984486E-4</v>
      </c>
      <c r="AC28">
        <f t="shared" si="22"/>
        <v>4.59867939305591E-2</v>
      </c>
      <c r="AD28">
        <f t="shared" si="23"/>
        <v>0.24203575752925841</v>
      </c>
      <c r="AF28">
        <v>1.0789999999999999E-2</v>
      </c>
      <c r="AG28">
        <f t="shared" si="10"/>
        <v>6.0961737331954486E-5</v>
      </c>
      <c r="AH28">
        <f t="shared" si="11"/>
        <v>1.8288521199586344E-4</v>
      </c>
      <c r="AI28">
        <f t="shared" si="24"/>
        <v>4.8409312539401041E-2</v>
      </c>
      <c r="AJ28">
        <f t="shared" si="25"/>
        <v>0.25891353327943589</v>
      </c>
      <c r="AK28" s="3">
        <f t="shared" si="26"/>
        <v>0.23915681518835888</v>
      </c>
      <c r="AL28">
        <v>26</v>
      </c>
      <c r="AM28">
        <f t="shared" si="12"/>
        <v>3.0223145490365813E-3</v>
      </c>
    </row>
    <row r="29" spans="1:39">
      <c r="A29">
        <v>980</v>
      </c>
      <c r="B29">
        <v>3.5200000000000002E-2</v>
      </c>
      <c r="C29">
        <f t="shared" si="0"/>
        <v>1.8717683557394003E-4</v>
      </c>
      <c r="D29">
        <f t="shared" si="1"/>
        <v>5.6153050672182007E-4</v>
      </c>
      <c r="E29">
        <f t="shared" si="13"/>
        <v>0.18579485940694634</v>
      </c>
      <c r="F29">
        <f t="shared" si="14"/>
        <v>0.99129696100312348</v>
      </c>
      <c r="H29">
        <v>2.7199999999999998E-2</v>
      </c>
      <c r="I29">
        <f t="shared" si="2"/>
        <v>1.4581178903826266E-4</v>
      </c>
      <c r="J29">
        <f t="shared" si="3"/>
        <v>4.3743536711478791E-4</v>
      </c>
      <c r="K29">
        <f t="shared" si="15"/>
        <v>0.14473522196894711</v>
      </c>
      <c r="L29">
        <f t="shared" si="16"/>
        <v>0.93725465725139523</v>
      </c>
      <c r="N29">
        <v>3.6700000000000003E-2</v>
      </c>
      <c r="O29">
        <f t="shared" si="4"/>
        <v>1.9493278179937953E-4</v>
      </c>
      <c r="P29">
        <f t="shared" si="5"/>
        <v>5.8479834539813856E-4</v>
      </c>
      <c r="Q29">
        <f t="shared" si="17"/>
        <v>0.19349354142657119</v>
      </c>
      <c r="R29">
        <f t="shared" si="18"/>
        <v>0.94351136390861401</v>
      </c>
      <c r="S29" s="3">
        <f t="shared" si="19"/>
        <v>0.95735432738771087</v>
      </c>
      <c r="T29" s="1">
        <v>6.7200000000000003E-3</v>
      </c>
      <c r="U29">
        <f t="shared" si="6"/>
        <v>3.9917269906928646E-5</v>
      </c>
      <c r="V29">
        <f t="shared" si="7"/>
        <v>1.1975180972078593E-4</v>
      </c>
      <c r="W29">
        <f t="shared" si="20"/>
        <v>3.9622550127669222E-2</v>
      </c>
      <c r="X29">
        <f t="shared" si="21"/>
        <v>0.26415033418446149</v>
      </c>
      <c r="Z29">
        <v>1.005E-2</v>
      </c>
      <c r="AA29">
        <f t="shared" si="8"/>
        <v>5.7135470527404346E-5</v>
      </c>
      <c r="AB29">
        <f t="shared" si="9"/>
        <v>1.7140641158221303E-4</v>
      </c>
      <c r="AC29">
        <f t="shared" si="22"/>
        <v>5.6713624211236387E-2</v>
      </c>
      <c r="AD29">
        <f t="shared" si="23"/>
        <v>0.29849275900650729</v>
      </c>
      <c r="AF29">
        <v>8.5199999999999998E-3</v>
      </c>
      <c r="AG29">
        <f t="shared" si="10"/>
        <v>4.9224405377456051E-5</v>
      </c>
      <c r="AH29">
        <f t="shared" si="11"/>
        <v>1.4767321613236813E-4</v>
      </c>
      <c r="AI29">
        <f t="shared" si="24"/>
        <v>4.8860968551219033E-2</v>
      </c>
      <c r="AJ29">
        <f t="shared" si="25"/>
        <v>0.25891353327943589</v>
      </c>
      <c r="AK29" s="3">
        <f t="shared" si="26"/>
        <v>0.27385220882346822</v>
      </c>
      <c r="AL29">
        <v>27</v>
      </c>
      <c r="AM29">
        <f t="shared" si="12"/>
        <v>2.4178516392292649E-3</v>
      </c>
    </row>
    <row r="48" spans="25:38">
      <c r="Y48">
        <f>SUM(Y50:Y76)</f>
        <v>3.117428794674169E-2</v>
      </c>
      <c r="AE48">
        <f>SUM(AE50:AE76)</f>
        <v>3.8399356693160115E-2</v>
      </c>
      <c r="AL48">
        <f>SUM(AL50:AL76)</f>
        <v>0.68572119712399082</v>
      </c>
    </row>
    <row r="49" spans="1:38">
      <c r="A49" t="s">
        <v>49</v>
      </c>
      <c r="B49" t="s">
        <v>24</v>
      </c>
      <c r="C49" t="s">
        <v>43</v>
      </c>
      <c r="E49" t="s">
        <v>46</v>
      </c>
      <c r="G49" t="s">
        <v>45</v>
      </c>
      <c r="I49" t="s">
        <v>25</v>
      </c>
      <c r="J49" t="s">
        <v>43</v>
      </c>
      <c r="K49" t="s">
        <v>46</v>
      </c>
      <c r="M49" t="s">
        <v>45</v>
      </c>
      <c r="O49" t="s">
        <v>29</v>
      </c>
      <c r="P49" t="s">
        <v>43</v>
      </c>
      <c r="Q49" t="s">
        <v>46</v>
      </c>
      <c r="S49" s="3" t="s">
        <v>45</v>
      </c>
      <c r="U49" t="s">
        <v>31</v>
      </c>
      <c r="V49" t="s">
        <v>43</v>
      </c>
      <c r="W49" t="s">
        <v>46</v>
      </c>
      <c r="Y49" t="s">
        <v>45</v>
      </c>
      <c r="AA49" t="s">
        <v>32</v>
      </c>
      <c r="AB49" t="s">
        <v>43</v>
      </c>
      <c r="AC49" t="s">
        <v>46</v>
      </c>
      <c r="AE49" t="s">
        <v>45</v>
      </c>
      <c r="AH49" t="s">
        <v>34</v>
      </c>
      <c r="AI49" t="s">
        <v>43</v>
      </c>
      <c r="AJ49" t="s">
        <v>46</v>
      </c>
      <c r="AK49" s="3" t="s">
        <v>45</v>
      </c>
      <c r="AL49" t="s">
        <v>45</v>
      </c>
    </row>
    <row r="50" spans="1:38">
      <c r="A50">
        <v>0.5</v>
      </c>
      <c r="C50">
        <v>4.070394445265179E-2</v>
      </c>
      <c r="E50">
        <f t="shared" ref="E50:E70" si="27">F$50*A50^F$51</f>
        <v>6.483653304247875E-3</v>
      </c>
      <c r="F50">
        <v>9.69216521948176E-3</v>
      </c>
      <c r="G50">
        <f t="shared" ref="G50:G70" si="28">(C50-E50)^2</f>
        <v>1.1710283262815313E-3</v>
      </c>
      <c r="J50">
        <v>4.0830748017924856E-2</v>
      </c>
      <c r="K50">
        <f t="shared" ref="K50:K70" si="29">L$50*A50^L$51</f>
        <v>2.5626825523386624E-3</v>
      </c>
      <c r="L50">
        <v>4.2699425064305586E-3</v>
      </c>
      <c r="M50">
        <f t="shared" ref="M50:M70" si="30">(J50-K50)^2</f>
        <v>1.4644448344783905E-3</v>
      </c>
      <c r="P50">
        <v>4.1017875609395779E-2</v>
      </c>
      <c r="Q50">
        <f t="shared" ref="Q50:Q71" si="31">R$50*A50^R$51</f>
        <v>1.0005114681291786E-3</v>
      </c>
      <c r="R50">
        <v>1.8215535412634814E-3</v>
      </c>
      <c r="S50" s="3">
        <f>(O50-Q50)^2</f>
        <v>1.0010231978580044E-6</v>
      </c>
      <c r="V50">
        <v>4.6240951396070318E-2</v>
      </c>
      <c r="W50">
        <f t="shared" ref="W50:W76" si="32">X$50*A50^X$51+X$52*A50^(2*X$51)</f>
        <v>4.5082535683690063E-2</v>
      </c>
      <c r="X50">
        <v>9.9997172272125477E-5</v>
      </c>
      <c r="Y50">
        <f t="shared" ref="Y50:Y76" si="33">(V50-W50)^2</f>
        <v>1.3419269626894535E-6</v>
      </c>
      <c r="AB50">
        <v>4.4604854950198655E-2</v>
      </c>
      <c r="AC50">
        <f t="shared" ref="AC50:AC76" si="34">AD$50*A50^AD$51+AD$52*A50^(2*AD$51)</f>
        <v>2.1224299860282739E-2</v>
      </c>
      <c r="AD50">
        <v>1.000012461255083E-4</v>
      </c>
      <c r="AE50">
        <f t="shared" ref="AE50:AE76" si="35">(AB50-AC50)^2</f>
        <v>5.4665035631259302E-4</v>
      </c>
      <c r="AI50">
        <v>5.8530248190279202E-2</v>
      </c>
      <c r="AJ50">
        <f>AK$50*A50^AK$52+AK$51*A50^(2*AK$52)</f>
        <v>8.9382530081547357E-3</v>
      </c>
      <c r="AK50" s="3">
        <f>(AG50-AI50)^2</f>
        <v>3.425789953215682E-3</v>
      </c>
      <c r="AL50">
        <f>(AI50-AJ50)^2</f>
        <v>2.4593659861438565E-3</v>
      </c>
    </row>
    <row r="51" spans="1:38">
      <c r="A51">
        <v>1</v>
      </c>
      <c r="C51">
        <v>6.1622839414980035E-2</v>
      </c>
      <c r="E51">
        <f t="shared" si="27"/>
        <v>9.69216521948176E-3</v>
      </c>
      <c r="F51">
        <v>0.58001204947703078</v>
      </c>
      <c r="G51">
        <f t="shared" si="28"/>
        <v>2.6967949223989903E-3</v>
      </c>
      <c r="J51">
        <v>6.3334841433988279E-2</v>
      </c>
      <c r="K51">
        <f t="shared" si="29"/>
        <v>4.2699425064305586E-3</v>
      </c>
      <c r="L51">
        <v>0.73656186603422458</v>
      </c>
      <c r="M51">
        <f t="shared" si="30"/>
        <v>3.4886622853226093E-3</v>
      </c>
      <c r="P51">
        <v>5.7680233417048296E-2</v>
      </c>
      <c r="Q51">
        <f t="shared" si="31"/>
        <v>1.8215535412634814E-3</v>
      </c>
      <c r="R51">
        <v>0.86443169721513458</v>
      </c>
      <c r="S51" s="3">
        <f t="shared" ref="S51:S72" si="36">(O51-Q51)^2</f>
        <v>3.3180573036895296E-6</v>
      </c>
      <c r="V51">
        <v>6.9519131334022752E-2</v>
      </c>
      <c r="W51">
        <f t="shared" si="32"/>
        <v>4.9798746054877878E-2</v>
      </c>
      <c r="X51">
        <v>7.1844331402471248E-2</v>
      </c>
      <c r="Y51">
        <f t="shared" si="33"/>
        <v>3.8889359555791382E-4</v>
      </c>
      <c r="AB51">
        <v>5.8179801883198164E-2</v>
      </c>
      <c r="AC51">
        <f t="shared" si="34"/>
        <v>2.5908440544156485E-2</v>
      </c>
      <c r="AD51">
        <v>0.14414510650032009</v>
      </c>
      <c r="AE51">
        <f t="shared" si="35"/>
        <v>1.0414407626749942E-3</v>
      </c>
      <c r="AI51">
        <v>7.4757626680455005E-2</v>
      </c>
      <c r="AJ51">
        <f t="shared" ref="AJ51:AJ76" si="37">AK$50*A51^AK$52+AK$51*A51^(2*AK$52)</f>
        <v>9.0144927001099603E-3</v>
      </c>
      <c r="AK51" s="3">
        <f t="shared" ref="AK51:AK72" si="38">(AG51-AI51)^2</f>
        <v>5.5887027468942783E-3</v>
      </c>
      <c r="AL51">
        <f t="shared" ref="AL51:AL76" si="39">(AI51-AJ51)^2</f>
        <v>4.3221596655576002E-3</v>
      </c>
    </row>
    <row r="52" spans="1:38">
      <c r="A52">
        <v>2</v>
      </c>
      <c r="C52">
        <v>6.4563635692125851E-2</v>
      </c>
      <c r="E52">
        <f t="shared" si="27"/>
        <v>1.4488446903875444E-2</v>
      </c>
      <c r="G52">
        <f t="shared" si="28"/>
        <v>2.5075245321789195E-3</v>
      </c>
      <c r="J52">
        <v>6.8753231644260587E-2</v>
      </c>
      <c r="K52">
        <f t="shared" si="29"/>
        <v>7.1145796000303988E-3</v>
      </c>
      <c r="M52">
        <f t="shared" si="30"/>
        <v>3.7993234258296826E-3</v>
      </c>
      <c r="P52">
        <v>6.3859598906780904E-2</v>
      </c>
      <c r="Q52">
        <f t="shared" si="31"/>
        <v>3.3163610906867948E-3</v>
      </c>
      <c r="S52" s="3">
        <f t="shared" si="36"/>
        <v>1.0998250883821307E-5</v>
      </c>
      <c r="V52">
        <v>7.4925672182006187E-2</v>
      </c>
      <c r="W52">
        <f t="shared" si="32"/>
        <v>5.5008605839733042E-2</v>
      </c>
      <c r="X52">
        <v>4.9698748882605753E-2</v>
      </c>
      <c r="Y52">
        <f t="shared" si="33"/>
        <v>3.9668953168250974E-4</v>
      </c>
      <c r="AB52">
        <v>6.9331525880367909E-2</v>
      </c>
      <c r="AC52">
        <f t="shared" si="34"/>
        <v>3.1627572243221748E-2</v>
      </c>
      <c r="AD52">
        <v>2.5808439298030977E-2</v>
      </c>
      <c r="AE52">
        <f t="shared" si="35"/>
        <v>1.4215881198720672E-3</v>
      </c>
      <c r="AI52">
        <v>8.6987784384694899E-2</v>
      </c>
      <c r="AJ52">
        <f t="shared" si="37"/>
        <v>9.091441611488971E-3</v>
      </c>
      <c r="AK52" s="3">
        <f t="shared" si="38"/>
        <v>7.5668746321581699E-3</v>
      </c>
      <c r="AL52">
        <f t="shared" si="39"/>
        <v>6.0678402174407908E-3</v>
      </c>
    </row>
    <row r="53" spans="1:38">
      <c r="A53">
        <v>3</v>
      </c>
      <c r="C53">
        <v>7.4017637852710857E-2</v>
      </c>
      <c r="E53">
        <f t="shared" si="27"/>
        <v>1.8329764517543264E-2</v>
      </c>
      <c r="G53">
        <f t="shared" si="28"/>
        <v>3.1011392365936697E-3</v>
      </c>
      <c r="J53">
        <v>8.06732861513271E-2</v>
      </c>
      <c r="K53">
        <f t="shared" si="29"/>
        <v>9.5907230279791925E-3</v>
      </c>
      <c r="M53">
        <f t="shared" si="30"/>
        <v>5.0527307801847389E-3</v>
      </c>
      <c r="P53">
        <v>7.1904084798345369E-2</v>
      </c>
      <c r="Q53">
        <f t="shared" si="31"/>
        <v>4.7084794257459348E-3</v>
      </c>
      <c r="S53" s="3">
        <f t="shared" si="36"/>
        <v>2.2169778502672769E-5</v>
      </c>
      <c r="V53">
        <v>8.0063986556359837E-2</v>
      </c>
      <c r="W53">
        <f t="shared" si="32"/>
        <v>5.8305447319443995E-2</v>
      </c>
      <c r="Y53">
        <f t="shared" si="33"/>
        <v>4.7343402972440621E-4</v>
      </c>
      <c r="AB53">
        <v>7.899456743591135E-2</v>
      </c>
      <c r="AC53">
        <f t="shared" si="34"/>
        <v>3.5542263930058181E-2</v>
      </c>
      <c r="AE53">
        <f t="shared" si="35"/>
        <v>1.8881026799647796E-3</v>
      </c>
      <c r="AI53">
        <v>0.10269811999095134</v>
      </c>
      <c r="AJ53">
        <f t="shared" si="37"/>
        <v>9.1367853986422595E-3</v>
      </c>
      <c r="AK53" s="3">
        <f t="shared" si="38"/>
        <v>1.054690384967584E-2</v>
      </c>
      <c r="AL53">
        <f t="shared" si="39"/>
        <v>8.7537233306940136E-3</v>
      </c>
    </row>
    <row r="54" spans="1:38">
      <c r="A54">
        <v>4</v>
      </c>
      <c r="C54">
        <v>8.1620658055104114E-2</v>
      </c>
      <c r="E54">
        <f t="shared" si="27"/>
        <v>2.1658224858205843E-2</v>
      </c>
      <c r="G54">
        <f t="shared" si="28"/>
        <v>3.595493394892488E-3</v>
      </c>
      <c r="J54">
        <v>8.3115954762366398E-2</v>
      </c>
      <c r="K54">
        <f t="shared" si="29"/>
        <v>1.1854314855279397E-2</v>
      </c>
      <c r="M54">
        <f t="shared" si="30"/>
        <v>5.0782213222473355E-3</v>
      </c>
      <c r="P54">
        <v>7.3225957143780426E-2</v>
      </c>
      <c r="Q54">
        <f t="shared" si="31"/>
        <v>6.0378411255441918E-3</v>
      </c>
      <c r="S54" s="3">
        <f t="shared" si="36"/>
        <v>3.6455525457312755E-5</v>
      </c>
      <c r="V54">
        <v>8.0063986556359837E-2</v>
      </c>
      <c r="W54">
        <f t="shared" si="32"/>
        <v>6.0763799683408497E-2</v>
      </c>
      <c r="Y54">
        <f t="shared" si="33"/>
        <v>3.7249721333084323E-4</v>
      </c>
      <c r="AB54">
        <v>7.9379255352623371E-2</v>
      </c>
      <c r="AC54">
        <f t="shared" si="34"/>
        <v>3.8610510824231184E-2</v>
      </c>
      <c r="AE54">
        <f t="shared" si="35"/>
        <v>1.662090530421308E-3</v>
      </c>
      <c r="AI54">
        <v>0.10269811999095134</v>
      </c>
      <c r="AJ54">
        <f t="shared" si="37"/>
        <v>9.1691067228996774E-3</v>
      </c>
      <c r="AK54" s="3">
        <f t="shared" si="38"/>
        <v>1.054690384967584E-2</v>
      </c>
      <c r="AL54">
        <f t="shared" si="39"/>
        <v>8.7476763228953834E-3</v>
      </c>
    </row>
    <row r="55" spans="1:38">
      <c r="A55">
        <v>26</v>
      </c>
      <c r="C55">
        <v>8.1620658055104114E-2</v>
      </c>
      <c r="E55">
        <f t="shared" si="27"/>
        <v>6.4139031875033919E-2</v>
      </c>
      <c r="G55">
        <f t="shared" si="28"/>
        <v>3.0560725389971565E-4</v>
      </c>
      <c r="J55">
        <v>8.3115954762366398E-2</v>
      </c>
      <c r="K55">
        <f t="shared" si="29"/>
        <v>4.7058430343607523E-2</v>
      </c>
      <c r="M55">
        <f t="shared" si="30"/>
        <v>1.3001450672093925E-3</v>
      </c>
      <c r="P55">
        <v>7.3225957143780426E-2</v>
      </c>
      <c r="Q55">
        <f t="shared" si="31"/>
        <v>3.0450172255589578E-2</v>
      </c>
      <c r="S55" s="3">
        <f t="shared" si="36"/>
        <v>9.2721299039507732E-4</v>
      </c>
      <c r="V55">
        <v>8.0063986556359837E-2</v>
      </c>
      <c r="W55">
        <f t="shared" si="32"/>
        <v>7.9497230122016219E-2</v>
      </c>
      <c r="Y55">
        <f t="shared" si="33"/>
        <v>3.2121285586989202E-7</v>
      </c>
      <c r="AB55">
        <v>8.7925107388389129E-2</v>
      </c>
      <c r="AC55">
        <f t="shared" si="34"/>
        <v>6.6181340708525258E-2</v>
      </c>
      <c r="AE55">
        <f t="shared" si="35"/>
        <v>4.7279138942835834E-4</v>
      </c>
      <c r="AI55">
        <v>0.10750582200911314</v>
      </c>
      <c r="AJ55">
        <f t="shared" si="37"/>
        <v>9.3824705435068042E-3</v>
      </c>
      <c r="AK55" s="3">
        <f t="shared" si="38"/>
        <v>1.1557501765855115E-2</v>
      </c>
      <c r="AL55">
        <f t="shared" si="39"/>
        <v>9.6281921028429102E-3</v>
      </c>
    </row>
    <row r="56" spans="1:38">
      <c r="A56">
        <v>29</v>
      </c>
      <c r="C56">
        <v>8.1620658055104114E-2</v>
      </c>
      <c r="E56">
        <f t="shared" si="27"/>
        <v>6.8332808185500873E-2</v>
      </c>
      <c r="G56">
        <f t="shared" si="28"/>
        <v>1.7656695415711488E-4</v>
      </c>
      <c r="J56">
        <v>8.3115954762366398E-2</v>
      </c>
      <c r="K56">
        <f t="shared" si="29"/>
        <v>5.099981792591305E-2</v>
      </c>
      <c r="M56">
        <f t="shared" si="30"/>
        <v>1.0314462452977956E-3</v>
      </c>
      <c r="P56">
        <v>7.3225957143780426E-2</v>
      </c>
      <c r="Q56">
        <f t="shared" si="31"/>
        <v>3.3464560402407445E-2</v>
      </c>
      <c r="S56" s="3">
        <f t="shared" si="36"/>
        <v>1.1198768029263763E-3</v>
      </c>
      <c r="V56">
        <v>8.0063986556359837E-2</v>
      </c>
      <c r="W56">
        <f t="shared" si="32"/>
        <v>8.0753431588041436E-2</v>
      </c>
      <c r="Y56">
        <f t="shared" si="33"/>
        <v>4.7533445171044058E-7</v>
      </c>
      <c r="AB56">
        <v>8.7925107388389129E-2</v>
      </c>
      <c r="AC56">
        <f t="shared" si="34"/>
        <v>6.8295365152464524E-2</v>
      </c>
      <c r="AE56">
        <f t="shared" si="35"/>
        <v>3.8532678024884233E-4</v>
      </c>
      <c r="AI56">
        <v>0.10750582200911314</v>
      </c>
      <c r="AJ56">
        <f t="shared" si="37"/>
        <v>9.3950838093517647E-3</v>
      </c>
      <c r="AK56" s="3">
        <f t="shared" si="38"/>
        <v>1.1557501765855115E-2</v>
      </c>
      <c r="AL56">
        <f t="shared" si="39"/>
        <v>9.6257169501021162E-3</v>
      </c>
    </row>
    <row r="57" spans="1:38">
      <c r="A57">
        <v>47.5</v>
      </c>
      <c r="C57">
        <v>8.1620658055104114E-2</v>
      </c>
      <c r="E57">
        <f t="shared" si="27"/>
        <v>9.0975260050946263E-2</v>
      </c>
      <c r="G57">
        <f t="shared" si="28"/>
        <v>8.7508578500613911E-5</v>
      </c>
      <c r="J57">
        <v>8.3115954762366398E-2</v>
      </c>
      <c r="K57">
        <f t="shared" si="29"/>
        <v>7.3351770561460763E-2</v>
      </c>
      <c r="M57">
        <f t="shared" si="30"/>
        <v>9.5339293109215206E-5</v>
      </c>
      <c r="P57">
        <v>7.3225957143780426E-2</v>
      </c>
      <c r="Q57">
        <f t="shared" si="31"/>
        <v>5.1265954028325164E-2</v>
      </c>
      <c r="S57" s="3">
        <f t="shared" si="36"/>
        <v>2.628198042434349E-3</v>
      </c>
      <c r="V57">
        <v>8.3508141408168715E-2</v>
      </c>
      <c r="W57">
        <f t="shared" si="32"/>
        <v>8.6682011036528617E-2</v>
      </c>
      <c r="Y57">
        <f t="shared" si="33"/>
        <v>1.0073448417825421E-5</v>
      </c>
      <c r="AB57">
        <v>8.9674608984996795E-2</v>
      </c>
      <c r="AC57">
        <f t="shared" si="34"/>
        <v>7.8722633913327372E-2</v>
      </c>
      <c r="AE57">
        <f t="shared" si="35"/>
        <v>1.1994575797046846E-4</v>
      </c>
      <c r="AI57">
        <v>0.10939640490937247</v>
      </c>
      <c r="AJ57">
        <f t="shared" si="37"/>
        <v>9.45230939234625E-3</v>
      </c>
      <c r="AK57" s="3">
        <f t="shared" si="38"/>
        <v>1.1967573407095373E-2</v>
      </c>
      <c r="AL57">
        <f t="shared" si="39"/>
        <v>9.9888222287164621E-3</v>
      </c>
    </row>
    <row r="58" spans="1:38">
      <c r="A58">
        <v>67</v>
      </c>
      <c r="C58">
        <v>8.1620658055104114E-2</v>
      </c>
      <c r="E58">
        <f t="shared" si="27"/>
        <v>0.11106218097161126</v>
      </c>
      <c r="G58">
        <f t="shared" si="28"/>
        <v>8.6680327164321538E-4</v>
      </c>
      <c r="J58">
        <v>8.3115954762366398E-2</v>
      </c>
      <c r="K58">
        <f t="shared" si="29"/>
        <v>9.4501584773843045E-2</v>
      </c>
      <c r="M58">
        <f t="shared" si="30"/>
        <v>1.296325707582377E-4</v>
      </c>
      <c r="P58">
        <v>7.3225957143780426E-2</v>
      </c>
      <c r="Q58">
        <f t="shared" si="31"/>
        <v>6.9017445662860971E-2</v>
      </c>
      <c r="S58" s="3">
        <f t="shared" si="36"/>
        <v>4.7634078058259666E-3</v>
      </c>
      <c r="V58">
        <v>8.5184714663484748E-2</v>
      </c>
      <c r="W58">
        <f t="shared" si="32"/>
        <v>9.1070395770858778E-2</v>
      </c>
      <c r="Y58">
        <f t="shared" si="33"/>
        <v>3.464124209769959E-5</v>
      </c>
      <c r="AB58">
        <v>8.9674608984996795E-2</v>
      </c>
      <c r="AC58">
        <f t="shared" si="34"/>
        <v>8.691969520802717E-2</v>
      </c>
      <c r="AE58">
        <f t="shared" si="35"/>
        <v>7.5895499185370459E-6</v>
      </c>
      <c r="AI58">
        <v>0.11330738185973289</v>
      </c>
      <c r="AJ58">
        <f t="shared" si="37"/>
        <v>9.4924245631695485E-3</v>
      </c>
      <c r="AK58" s="3">
        <f t="shared" si="38"/>
        <v>1.2838562783907327E-2</v>
      </c>
      <c r="AL58">
        <f t="shared" si="39"/>
        <v>1.0777545358487271E-2</v>
      </c>
    </row>
    <row r="59" spans="1:38">
      <c r="A59">
        <v>73.5</v>
      </c>
      <c r="C59">
        <v>8.1620658055104114E-2</v>
      </c>
      <c r="E59">
        <f t="shared" si="27"/>
        <v>0.11718983783057541</v>
      </c>
      <c r="G59">
        <f t="shared" si="28"/>
        <v>1.2651665498997959E-3</v>
      </c>
      <c r="J59">
        <v>8.3115954762366398E-2</v>
      </c>
      <c r="K59">
        <f t="shared" si="29"/>
        <v>0.10117148215965995</v>
      </c>
      <c r="M59">
        <f t="shared" si="30"/>
        <v>3.2600206959441789E-4</v>
      </c>
      <c r="P59">
        <v>7.3225957143780426E-2</v>
      </c>
      <c r="Q59">
        <f t="shared" si="31"/>
        <v>7.4768707476311175E-2</v>
      </c>
      <c r="S59" s="3">
        <f t="shared" si="36"/>
        <v>5.5903596176781903E-3</v>
      </c>
      <c r="V59">
        <v>8.5184714663484748E-2</v>
      </c>
      <c r="W59">
        <f t="shared" si="32"/>
        <v>9.2289232166582219E-2</v>
      </c>
      <c r="Y59">
        <f t="shared" si="33"/>
        <v>5.0474168951818327E-5</v>
      </c>
      <c r="AB59">
        <v>8.9674608984996795E-2</v>
      </c>
      <c r="AC59">
        <f t="shared" si="34"/>
        <v>8.9268642581179711E-2</v>
      </c>
      <c r="AE59">
        <f t="shared" si="35"/>
        <v>1.648087210281762E-7</v>
      </c>
      <c r="AI59">
        <v>0.11330738185973289</v>
      </c>
      <c r="AJ59">
        <f t="shared" si="37"/>
        <v>9.5032549550459963E-3</v>
      </c>
      <c r="AK59" s="3">
        <f t="shared" si="38"/>
        <v>1.2838562783907327E-2</v>
      </c>
      <c r="AL59">
        <f t="shared" si="39"/>
        <v>1.0775296762444344E-2</v>
      </c>
    </row>
    <row r="60" spans="1:38">
      <c r="A60">
        <v>113</v>
      </c>
      <c r="C60">
        <v>8.1620658055104114E-2</v>
      </c>
      <c r="E60">
        <f t="shared" si="27"/>
        <v>0.15039418500064108</v>
      </c>
      <c r="G60">
        <f t="shared" si="28"/>
        <v>4.7297980085284994E-3</v>
      </c>
      <c r="J60">
        <v>8.3115954762366398E-2</v>
      </c>
      <c r="K60">
        <f t="shared" si="29"/>
        <v>0.13888051454022898</v>
      </c>
      <c r="M60">
        <f t="shared" si="30"/>
        <v>3.1096861272188097E-3</v>
      </c>
      <c r="P60">
        <v>7.3225957143780426E-2</v>
      </c>
      <c r="Q60">
        <f t="shared" si="31"/>
        <v>0.108439629350377</v>
      </c>
      <c r="S60" s="3">
        <f t="shared" si="36"/>
        <v>1.1759153213647145E-2</v>
      </c>
      <c r="V60">
        <v>8.5523727637905264E-2</v>
      </c>
      <c r="W60">
        <f t="shared" si="32"/>
        <v>9.8168306486493717E-2</v>
      </c>
      <c r="Y60">
        <f t="shared" si="33"/>
        <v>1.5988537425817048E-4</v>
      </c>
      <c r="AB60">
        <v>9.1469634022404017E-2</v>
      </c>
      <c r="AC60">
        <f t="shared" si="34"/>
        <v>0.10104030279938329</v>
      </c>
      <c r="AE60">
        <f t="shared" si="35"/>
        <v>9.1597700838646012E-5</v>
      </c>
      <c r="AI60">
        <v>0.11773959125826483</v>
      </c>
      <c r="AJ60">
        <f t="shared" si="37"/>
        <v>9.5537397731471942E-3</v>
      </c>
      <c r="AK60" s="3">
        <f t="shared" si="38"/>
        <v>1.3862611349663273E-2</v>
      </c>
      <c r="AL60">
        <f t="shared" si="39"/>
        <v>1.170417846155993E-2</v>
      </c>
    </row>
    <row r="61" spans="1:38">
      <c r="A61">
        <v>166</v>
      </c>
      <c r="C61">
        <v>0.2105502404293467</v>
      </c>
      <c r="E61">
        <f t="shared" si="27"/>
        <v>0.18797939651725154</v>
      </c>
      <c r="G61">
        <f t="shared" si="28"/>
        <v>5.0944299490416299E-4</v>
      </c>
      <c r="J61">
        <v>0.16237349050059785</v>
      </c>
      <c r="K61">
        <f t="shared" si="29"/>
        <v>0.18436096960663195</v>
      </c>
      <c r="M61">
        <f t="shared" si="30"/>
        <v>4.8344923743828621E-4</v>
      </c>
      <c r="P61">
        <v>0.18552670766849727</v>
      </c>
      <c r="Q61">
        <f t="shared" si="31"/>
        <v>0.15120764295579731</v>
      </c>
      <c r="S61" s="3">
        <f t="shared" si="36"/>
        <v>2.2863751288247879E-2</v>
      </c>
      <c r="V61">
        <v>9.8236714178674966E-2</v>
      </c>
      <c r="W61">
        <f t="shared" si="32"/>
        <v>0.10374200387464322</v>
      </c>
      <c r="Y61">
        <f t="shared" si="33"/>
        <v>3.0308214636534205E-5</v>
      </c>
      <c r="AB61">
        <v>9.9890466913493986E-2</v>
      </c>
      <c r="AC61">
        <f t="shared" si="34"/>
        <v>0.1128760563349839</v>
      </c>
      <c r="AE61">
        <f t="shared" si="35"/>
        <v>1.6862553262351085E-4</v>
      </c>
      <c r="AI61">
        <v>0.12843908632276205</v>
      </c>
      <c r="AJ61">
        <f t="shared" si="37"/>
        <v>9.5991307794422286E-3</v>
      </c>
      <c r="AK61" s="3">
        <f t="shared" si="38"/>
        <v>1.6496598895425922E-2</v>
      </c>
      <c r="AL61">
        <f t="shared" si="39"/>
        <v>1.4122935033538231E-2</v>
      </c>
    </row>
    <row r="62" spans="1:38">
      <c r="A62">
        <v>188</v>
      </c>
      <c r="C62">
        <v>0.2105502404293467</v>
      </c>
      <c r="E62">
        <f t="shared" si="27"/>
        <v>0.20205042291304826</v>
      </c>
      <c r="G62">
        <f t="shared" si="28"/>
        <v>7.2246897810373801E-5</v>
      </c>
      <c r="J62">
        <v>0.16622340257842327</v>
      </c>
      <c r="K62">
        <f t="shared" si="29"/>
        <v>0.2020598268621496</v>
      </c>
      <c r="M62">
        <f t="shared" si="30"/>
        <v>1.2842493054432498E-3</v>
      </c>
      <c r="P62">
        <v>0.18552670766849727</v>
      </c>
      <c r="Q62">
        <f t="shared" si="31"/>
        <v>0.16838215771485315</v>
      </c>
      <c r="S62" s="3">
        <f t="shared" si="36"/>
        <v>2.8352551036709681E-2</v>
      </c>
      <c r="V62">
        <v>9.8236714178674966E-2</v>
      </c>
      <c r="W62">
        <f t="shared" si="32"/>
        <v>0.10561256500709815</v>
      </c>
      <c r="Y62">
        <f t="shared" si="33"/>
        <v>5.440317544315092E-5</v>
      </c>
      <c r="AB62">
        <v>9.9890466913493986E-2</v>
      </c>
      <c r="AC62">
        <f t="shared" si="34"/>
        <v>0.11699560606301242</v>
      </c>
      <c r="AE62">
        <f t="shared" si="35"/>
        <v>2.9258578532438808E-4</v>
      </c>
      <c r="AI62">
        <v>0.12843908632276205</v>
      </c>
      <c r="AJ62">
        <f t="shared" si="37"/>
        <v>9.6138692329006247E-3</v>
      </c>
      <c r="AK62" s="3">
        <f t="shared" si="38"/>
        <v>1.6496598895425922E-2</v>
      </c>
      <c r="AL62">
        <f t="shared" si="39"/>
        <v>1.4119432216452694E-2</v>
      </c>
    </row>
    <row r="63" spans="1:38">
      <c r="A63">
        <v>237</v>
      </c>
      <c r="C63">
        <v>0.26213977886821987</v>
      </c>
      <c r="E63">
        <f t="shared" si="27"/>
        <v>0.23110187229837645</v>
      </c>
      <c r="G63">
        <f t="shared" si="28"/>
        <v>9.6335164423832977E-4</v>
      </c>
      <c r="J63">
        <v>0.23991410566416141</v>
      </c>
      <c r="K63">
        <f t="shared" si="29"/>
        <v>0.2396465054851101</v>
      </c>
      <c r="M63">
        <f t="shared" si="30"/>
        <v>7.1609855828292258E-8</v>
      </c>
      <c r="P63">
        <v>0.19697432897017442</v>
      </c>
      <c r="Q63">
        <f t="shared" si="31"/>
        <v>0.20570729069304597</v>
      </c>
      <c r="S63" s="3">
        <f t="shared" si="36"/>
        <v>4.2315489444273317E-2</v>
      </c>
      <c r="V63">
        <v>9.8236714178674966E-2</v>
      </c>
      <c r="W63">
        <f t="shared" si="32"/>
        <v>0.10918410508293548</v>
      </c>
      <c r="Y63">
        <f t="shared" si="33"/>
        <v>1.1984536761068586E-4</v>
      </c>
      <c r="AB63">
        <v>9.9890466913493986E-2</v>
      </c>
      <c r="AC63">
        <f t="shared" si="34"/>
        <v>0.12506704198970794</v>
      </c>
      <c r="AE63">
        <f t="shared" si="35"/>
        <v>6.3385993256823787E-4</v>
      </c>
      <c r="AI63">
        <v>0.12843908632276205</v>
      </c>
      <c r="AJ63">
        <f t="shared" si="37"/>
        <v>9.6413641394982822E-3</v>
      </c>
      <c r="AK63" s="3">
        <f t="shared" si="38"/>
        <v>1.6496598895425922E-2</v>
      </c>
      <c r="AL63">
        <f t="shared" si="39"/>
        <v>1.4112898795931918E-2</v>
      </c>
    </row>
    <row r="64" spans="1:38">
      <c r="A64">
        <v>276</v>
      </c>
      <c r="C64">
        <v>0.26213977886821987</v>
      </c>
      <c r="E64">
        <f t="shared" si="27"/>
        <v>0.25245122830017475</v>
      </c>
      <c r="G64">
        <f t="shared" si="28"/>
        <v>9.3868012109567597E-5</v>
      </c>
      <c r="J64">
        <v>0.2675618354168674</v>
      </c>
      <c r="K64">
        <f t="shared" si="29"/>
        <v>0.26810355687540866</v>
      </c>
      <c r="M64">
        <f t="shared" si="30"/>
        <v>2.9346213864406523E-7</v>
      </c>
      <c r="P64">
        <v>0.22648352883379971</v>
      </c>
      <c r="Q64">
        <f t="shared" si="31"/>
        <v>0.23466111052428817</v>
      </c>
      <c r="S64" s="3">
        <f t="shared" si="36"/>
        <v>5.506583679249219E-2</v>
      </c>
      <c r="V64">
        <v>9.8236714178674966E-2</v>
      </c>
      <c r="W64">
        <f t="shared" si="32"/>
        <v>0.11159880738399885</v>
      </c>
      <c r="Y64">
        <f t="shared" si="33"/>
        <v>1.7854553482776281E-4</v>
      </c>
      <c r="AB64">
        <v>9.9890466913493986E-2</v>
      </c>
      <c r="AC64">
        <f t="shared" si="34"/>
        <v>0.13067718846357848</v>
      </c>
      <c r="AE64">
        <f t="shared" si="35"/>
        <v>9.4782222380243705E-4</v>
      </c>
      <c r="AI64">
        <v>0.12843908632276205</v>
      </c>
      <c r="AJ64">
        <f t="shared" si="37"/>
        <v>9.6594948123591064E-3</v>
      </c>
      <c r="AK64" s="3">
        <f t="shared" si="38"/>
        <v>1.6496598895425922E-2</v>
      </c>
      <c r="AL64">
        <f t="shared" si="39"/>
        <v>1.4108591359378187E-2</v>
      </c>
    </row>
    <row r="65" spans="1:38">
      <c r="A65">
        <v>305</v>
      </c>
      <c r="C65">
        <v>0.26213977886821987</v>
      </c>
      <c r="E65">
        <f t="shared" si="27"/>
        <v>0.26751285118690155</v>
      </c>
      <c r="G65">
        <f t="shared" si="28"/>
        <v>2.8869906141783228E-5</v>
      </c>
      <c r="J65">
        <v>0.27799586524912528</v>
      </c>
      <c r="K65">
        <f t="shared" si="29"/>
        <v>0.28857755724415896</v>
      </c>
      <c r="M65">
        <f t="shared" si="30"/>
        <v>1.1197220547775966E-4</v>
      </c>
      <c r="P65">
        <v>0.25171834545024635</v>
      </c>
      <c r="Q65">
        <f t="shared" si="31"/>
        <v>0.25582881994727602</v>
      </c>
      <c r="S65" s="3">
        <f t="shared" si="36"/>
        <v>6.5448385115615779E-2</v>
      </c>
      <c r="V65">
        <v>9.8236714178674966E-2</v>
      </c>
      <c r="W65">
        <f t="shared" si="32"/>
        <v>0.11321139592046073</v>
      </c>
      <c r="Y65">
        <f t="shared" si="33"/>
        <v>2.2424109326777184E-4</v>
      </c>
      <c r="AB65">
        <v>9.9890466913493986E-2</v>
      </c>
      <c r="AC65">
        <f t="shared" si="34"/>
        <v>0.1344925502506775</v>
      </c>
      <c r="AE65">
        <f t="shared" si="35"/>
        <v>1.1973041712733926E-3</v>
      </c>
      <c r="AI65">
        <v>0.12843908632276205</v>
      </c>
      <c r="AJ65">
        <f t="shared" si="37"/>
        <v>9.6714057411590986E-3</v>
      </c>
      <c r="AK65" s="3">
        <f t="shared" si="38"/>
        <v>1.6496598895425922E-2</v>
      </c>
      <c r="AL65">
        <f t="shared" si="39"/>
        <v>1.4105761950733665E-2</v>
      </c>
    </row>
    <row r="66" spans="1:38">
      <c r="A66">
        <v>376</v>
      </c>
      <c r="C66">
        <v>0.26213977886821987</v>
      </c>
      <c r="E66">
        <f t="shared" si="27"/>
        <v>0.30203744550258571</v>
      </c>
      <c r="G66">
        <f t="shared" si="28"/>
        <v>1.5918238028669888E-3</v>
      </c>
      <c r="J66">
        <v>0.3395345975344492</v>
      </c>
      <c r="K66">
        <f t="shared" si="29"/>
        <v>0.33667214956972696</v>
      </c>
      <c r="M66">
        <f t="shared" si="30"/>
        <v>8.193608350742475E-6</v>
      </c>
      <c r="P66">
        <v>0.27056048181735187</v>
      </c>
      <c r="Q66">
        <f t="shared" si="31"/>
        <v>0.3065603198378089</v>
      </c>
      <c r="S66" s="3">
        <f t="shared" si="36"/>
        <v>9.3979229699059696E-2</v>
      </c>
      <c r="V66">
        <v>9.8236714178674966E-2</v>
      </c>
      <c r="W66">
        <f t="shared" si="32"/>
        <v>0.11666513478832093</v>
      </c>
      <c r="Y66">
        <f t="shared" si="33"/>
        <v>3.3960668616602396E-4</v>
      </c>
      <c r="AB66">
        <v>9.9890466913493986E-2</v>
      </c>
      <c r="AC66">
        <f t="shared" si="34"/>
        <v>0.14284941429705808</v>
      </c>
      <c r="AE66">
        <f t="shared" si="35"/>
        <v>1.8454711603038284E-3</v>
      </c>
      <c r="AI66">
        <v>0.12843908632276205</v>
      </c>
      <c r="AJ66">
        <f t="shared" si="37"/>
        <v>9.6964066559421993E-3</v>
      </c>
      <c r="AK66" s="3">
        <f t="shared" si="38"/>
        <v>1.6496598895425922E-2</v>
      </c>
      <c r="AL66">
        <f t="shared" si="39"/>
        <v>1.4099823974456993E-2</v>
      </c>
    </row>
    <row r="67" spans="1:38">
      <c r="A67">
        <v>408.5</v>
      </c>
      <c r="C67">
        <v>0.29719664952293989</v>
      </c>
      <c r="E67">
        <f t="shared" si="27"/>
        <v>0.31691563648052146</v>
      </c>
      <c r="G67">
        <f t="shared" si="28"/>
        <v>3.8883844663327178E-4</v>
      </c>
      <c r="J67">
        <v>0.41446795438436485</v>
      </c>
      <c r="K67">
        <f t="shared" si="29"/>
        <v>0.35787101440696034</v>
      </c>
      <c r="M67">
        <f t="shared" si="30"/>
        <v>3.2032136148059283E-3</v>
      </c>
      <c r="P67">
        <v>0.30539744007268987</v>
      </c>
      <c r="Q67">
        <f t="shared" si="31"/>
        <v>0.32933593902112707</v>
      </c>
      <c r="S67" s="3">
        <f t="shared" si="36"/>
        <v>0.10846216073092753</v>
      </c>
      <c r="V67">
        <v>9.8236714178674966E-2</v>
      </c>
      <c r="W67">
        <f t="shared" si="32"/>
        <v>0.1180622620954843</v>
      </c>
      <c r="Y67">
        <f t="shared" si="33"/>
        <v>3.9305235020170299E-4</v>
      </c>
      <c r="AB67">
        <v>9.9890466913493986E-2</v>
      </c>
      <c r="AC67">
        <f t="shared" si="34"/>
        <v>0.14630178921917653</v>
      </c>
      <c r="AE67">
        <f t="shared" si="35"/>
        <v>2.1540108381619457E-3</v>
      </c>
      <c r="AI67">
        <v>0.14190647967287393</v>
      </c>
      <c r="AJ67">
        <f t="shared" si="37"/>
        <v>9.706329905450015E-3</v>
      </c>
      <c r="AK67" s="3">
        <f t="shared" si="38"/>
        <v>2.013744897314778E-2</v>
      </c>
      <c r="AL67">
        <f t="shared" si="39"/>
        <v>1.7476879598529314E-2</v>
      </c>
    </row>
    <row r="68" spans="1:38">
      <c r="A68">
        <v>452</v>
      </c>
      <c r="C68">
        <v>0.33090189868241232</v>
      </c>
      <c r="E68">
        <f t="shared" si="27"/>
        <v>0.33607259083483315</v>
      </c>
      <c r="G68">
        <f t="shared" si="28"/>
        <v>2.6736057335106362E-5</v>
      </c>
      <c r="J68">
        <v>0.41446795438436485</v>
      </c>
      <c r="K68">
        <f t="shared" si="29"/>
        <v>0.38556335223336047</v>
      </c>
      <c r="M68">
        <f t="shared" si="30"/>
        <v>8.3547602550784685E-4</v>
      </c>
      <c r="P68">
        <v>0.30539744007268987</v>
      </c>
      <c r="Q68">
        <f t="shared" si="31"/>
        <v>0.35944112478644363</v>
      </c>
      <c r="S68" s="3">
        <f t="shared" si="36"/>
        <v>0.12919792218774373</v>
      </c>
      <c r="V68">
        <v>9.8236714178674966E-2</v>
      </c>
      <c r="W68">
        <f t="shared" si="32"/>
        <v>0.1197902832308764</v>
      </c>
      <c r="Y68">
        <f t="shared" si="33"/>
        <v>4.6455633888801534E-4</v>
      </c>
      <c r="AB68">
        <v>9.9890466913493986E-2</v>
      </c>
      <c r="AC68">
        <f t="shared" si="34"/>
        <v>0.15062904436463403</v>
      </c>
      <c r="AE68">
        <f t="shared" si="35"/>
        <v>2.5744032417653376E-3</v>
      </c>
      <c r="AI68">
        <v>0.19529362615174634</v>
      </c>
      <c r="AJ68">
        <f t="shared" si="37"/>
        <v>9.7184570923218444E-3</v>
      </c>
      <c r="AK68" s="3">
        <f t="shared" si="38"/>
        <v>3.8139600415498062E-2</v>
      </c>
      <c r="AL68">
        <f t="shared" si="39"/>
        <v>3.4438143371433985E-2</v>
      </c>
    </row>
    <row r="69" spans="1:38">
      <c r="A69">
        <v>500</v>
      </c>
      <c r="C69">
        <v>0.35724693832348414</v>
      </c>
      <c r="E69">
        <f t="shared" si="27"/>
        <v>0.35633290833841741</v>
      </c>
      <c r="G69">
        <f t="shared" si="28"/>
        <v>8.3545081360109266E-7</v>
      </c>
      <c r="J69">
        <v>0.41446795438436485</v>
      </c>
      <c r="K69">
        <f t="shared" si="29"/>
        <v>0.41531767123407509</v>
      </c>
      <c r="M69">
        <f t="shared" si="30"/>
        <v>7.2201872468150638E-7</v>
      </c>
      <c r="P69">
        <v>0.37569871706042163</v>
      </c>
      <c r="Q69">
        <f t="shared" si="31"/>
        <v>0.39220864550461965</v>
      </c>
      <c r="S69" s="3">
        <f t="shared" si="36"/>
        <v>0.15382762160856839</v>
      </c>
      <c r="V69">
        <v>9.8236714178674966E-2</v>
      </c>
      <c r="W69">
        <f t="shared" si="32"/>
        <v>0.12153899128310143</v>
      </c>
      <c r="Y69">
        <f t="shared" si="33"/>
        <v>5.4299611825147775E-4</v>
      </c>
      <c r="AB69">
        <v>0.1053693680504062</v>
      </c>
      <c r="AC69">
        <f t="shared" si="34"/>
        <v>0.15507253312268832</v>
      </c>
      <c r="AE69">
        <f t="shared" si="35"/>
        <v>2.470404618202525E-3</v>
      </c>
      <c r="AI69">
        <v>0.20935080625283659</v>
      </c>
      <c r="AJ69">
        <f t="shared" si="37"/>
        <v>9.7305690143366513E-3</v>
      </c>
      <c r="AK69" s="3">
        <f t="shared" si="38"/>
        <v>4.3827760078712724E-2</v>
      </c>
      <c r="AL69">
        <f t="shared" si="39"/>
        <v>3.984823911515499E-2</v>
      </c>
    </row>
    <row r="70" spans="1:38">
      <c r="A70">
        <v>548</v>
      </c>
      <c r="C70">
        <v>0.42477532300658166</v>
      </c>
      <c r="E70">
        <f t="shared" si="27"/>
        <v>0.37579113745313708</v>
      </c>
      <c r="G70">
        <f t="shared" si="28"/>
        <v>2.399450434334289E-3</v>
      </c>
      <c r="J70">
        <v>0.41446795438436485</v>
      </c>
      <c r="K70">
        <f t="shared" si="29"/>
        <v>0.4443276566482699</v>
      </c>
      <c r="M70">
        <f t="shared" si="30"/>
        <v>8.9160181928905652E-4</v>
      </c>
      <c r="P70">
        <v>0.41068021424919882</v>
      </c>
      <c r="Q70">
        <f t="shared" si="31"/>
        <v>0.42455178143346101</v>
      </c>
      <c r="S70" s="3">
        <f t="shared" si="36"/>
        <v>0.18024421511832525</v>
      </c>
      <c r="V70">
        <v>9.8236714178674966E-2</v>
      </c>
      <c r="W70">
        <f t="shared" si="32"/>
        <v>0.12314939633328251</v>
      </c>
      <c r="Y70">
        <f t="shared" si="33"/>
        <v>6.2064173213650096E-4</v>
      </c>
      <c r="AB70">
        <v>0.12675481774880845</v>
      </c>
      <c r="AC70">
        <f t="shared" si="34"/>
        <v>0.15922192490972992</v>
      </c>
      <c r="AE70">
        <f t="shared" si="35"/>
        <v>1.0541130473987578E-3</v>
      </c>
      <c r="AI70">
        <v>0.21964343907953446</v>
      </c>
      <c r="AJ70">
        <f t="shared" si="37"/>
        <v>9.7415840414336128E-3</v>
      </c>
      <c r="AK70" s="3">
        <f t="shared" si="38"/>
        <v>4.8243240330685166E-2</v>
      </c>
      <c r="AL70">
        <f t="shared" si="39"/>
        <v>4.4058788748435905E-2</v>
      </c>
    </row>
    <row r="71" spans="1:38">
      <c r="A71">
        <v>620</v>
      </c>
      <c r="G71">
        <f>SUM(G50:G70)</f>
        <v>2.6578894676162021E-2</v>
      </c>
      <c r="M71">
        <f>SUM(M50:M70)</f>
        <v>3.1694876928282642E-2</v>
      </c>
      <c r="P71">
        <v>0.57021121791230411</v>
      </c>
      <c r="Q71">
        <f t="shared" si="31"/>
        <v>0.47236077720797004</v>
      </c>
      <c r="S71" s="3">
        <f t="shared" si="36"/>
        <v>0.22312470384451752</v>
      </c>
      <c r="V71">
        <v>9.8236714178674966E-2</v>
      </c>
      <c r="W71">
        <f t="shared" si="32"/>
        <v>0.12535183639444075</v>
      </c>
      <c r="Y71">
        <f t="shared" si="33"/>
        <v>7.3522985277591521E-4</v>
      </c>
      <c r="AB71">
        <v>0.14870676942597644</v>
      </c>
      <c r="AC71">
        <f t="shared" si="34"/>
        <v>0.16498577261083514</v>
      </c>
      <c r="AE71">
        <f t="shared" si="35"/>
        <v>2.6500594469263961E-4</v>
      </c>
      <c r="AI71">
        <v>0.25891353327943589</v>
      </c>
      <c r="AJ71">
        <f t="shared" si="37"/>
        <v>9.7564389275376692E-3</v>
      </c>
      <c r="AK71" s="3">
        <f t="shared" si="38"/>
        <v>6.7036217715241556E-2</v>
      </c>
      <c r="AL71">
        <f t="shared" si="39"/>
        <v>6.2079257665880717E-2</v>
      </c>
    </row>
    <row r="72" spans="1:38">
      <c r="A72">
        <v>716</v>
      </c>
      <c r="S72" s="3">
        <f t="shared" si="36"/>
        <v>0</v>
      </c>
      <c r="V72">
        <v>9.8236714178674966E-2</v>
      </c>
      <c r="W72">
        <f t="shared" si="32"/>
        <v>0.1279701413183916</v>
      </c>
      <c r="Y72">
        <f t="shared" si="33"/>
        <v>8.8407668947283768E-4</v>
      </c>
      <c r="AB72">
        <v>0.1758147742692534</v>
      </c>
      <c r="AC72">
        <f t="shared" si="34"/>
        <v>0.1719717555202899</v>
      </c>
      <c r="AE72">
        <f t="shared" si="35"/>
        <v>1.4768793104885029E-5</v>
      </c>
      <c r="AI72">
        <v>0.25891353327943589</v>
      </c>
      <c r="AJ72">
        <f t="shared" si="37"/>
        <v>9.7737938261139041E-3</v>
      </c>
      <c r="AK72" s="3">
        <f t="shared" si="38"/>
        <v>6.7036217715241556E-2</v>
      </c>
      <c r="AL72">
        <f t="shared" si="39"/>
        <v>6.2070609774869168E-2</v>
      </c>
    </row>
    <row r="73" spans="1:38">
      <c r="A73">
        <v>788</v>
      </c>
      <c r="S73" s="3">
        <f>SUM(S50:S72)</f>
        <v>1.1297440179747333</v>
      </c>
      <c r="V73">
        <v>0.10195929168603962</v>
      </c>
      <c r="W73">
        <f t="shared" si="32"/>
        <v>0.12974309698422848</v>
      </c>
      <c r="Y73">
        <f t="shared" si="33"/>
        <v>7.7193983684766725E-4</v>
      </c>
      <c r="AB73">
        <v>0.21018385183840801</v>
      </c>
      <c r="AC73">
        <f t="shared" si="34"/>
        <v>0.17678477748907384</v>
      </c>
      <c r="AE73">
        <f t="shared" si="35"/>
        <v>1.1154981673923519E-3</v>
      </c>
      <c r="AI73">
        <v>0.25891353327943589</v>
      </c>
      <c r="AJ73">
        <f t="shared" si="37"/>
        <v>9.7853635738318449E-3</v>
      </c>
      <c r="AK73" s="3">
        <f>SUM(AK50:AK72)</f>
        <v>0.49569756748898575</v>
      </c>
      <c r="AL73">
        <f t="shared" si="39"/>
        <v>6.2064844940864256E-2</v>
      </c>
    </row>
    <row r="74" spans="1:38">
      <c r="A74">
        <v>860</v>
      </c>
      <c r="V74">
        <v>0.12482129781151756</v>
      </c>
      <c r="W74">
        <f t="shared" si="32"/>
        <v>0.13138235896317424</v>
      </c>
      <c r="Y74">
        <f t="shared" si="33"/>
        <v>4.3047523435778482E-5</v>
      </c>
      <c r="AB74">
        <v>0.21018385183840801</v>
      </c>
      <c r="AC74">
        <f t="shared" si="34"/>
        <v>0.18129417187639321</v>
      </c>
      <c r="AE74">
        <f t="shared" si="35"/>
        <v>8.3461360830763961E-4</v>
      </c>
      <c r="AI74">
        <v>0.25891353327943589</v>
      </c>
      <c r="AJ74">
        <f t="shared" si="37"/>
        <v>9.7959340179114666E-3</v>
      </c>
      <c r="AL74">
        <f t="shared" si="39"/>
        <v>6.2059578261825482E-2</v>
      </c>
    </row>
    <row r="75" spans="1:38">
      <c r="A75">
        <v>956</v>
      </c>
      <c r="V75">
        <v>0.21652115475638242</v>
      </c>
      <c r="W75">
        <f t="shared" si="32"/>
        <v>0.13339416652305414</v>
      </c>
      <c r="Y75">
        <f t="shared" si="33"/>
        <v>6.9100961727438992E-3</v>
      </c>
      <c r="AB75">
        <v>0.24203575752925841</v>
      </c>
      <c r="AC75">
        <f t="shared" si="34"/>
        <v>0.18690628060207598</v>
      </c>
      <c r="AE75">
        <f t="shared" si="35"/>
        <v>3.0392592262647395E-3</v>
      </c>
      <c r="AI75">
        <v>0.25891353327943589</v>
      </c>
      <c r="AJ75">
        <f t="shared" si="37"/>
        <v>9.8087444955002098E-3</v>
      </c>
      <c r="AL75">
        <f t="shared" si="39"/>
        <v>6.2053195795089208E-2</v>
      </c>
    </row>
    <row r="76" spans="1:38">
      <c r="A76">
        <v>980</v>
      </c>
      <c r="V76">
        <v>0.26415033418446149</v>
      </c>
      <c r="W76">
        <f t="shared" si="32"/>
        <v>0.13386996658540798</v>
      </c>
      <c r="Y76">
        <f t="shared" si="33"/>
        <v>1.697297418174451E-2</v>
      </c>
      <c r="AB76">
        <v>0.29849275900650729</v>
      </c>
      <c r="AC76">
        <f t="shared" si="34"/>
        <v>0.18824611749030565</v>
      </c>
      <c r="AE76">
        <f t="shared" si="35"/>
        <v>1.2154321965601875E-2</v>
      </c>
      <c r="AI76">
        <v>0.25891353327943589</v>
      </c>
      <c r="AJ76">
        <f t="shared" si="37"/>
        <v>9.8117485918678936E-3</v>
      </c>
      <c r="AL76">
        <f t="shared" si="39"/>
        <v>6.2051699134531485E-2</v>
      </c>
    </row>
    <row r="89" spans="1:38">
      <c r="Y89">
        <f>SUM(Y91:Y117)</f>
        <v>0.3803269985767409</v>
      </c>
      <c r="AE89">
        <f>SUM(AE91:AE117)</f>
        <v>0.70657971173128931</v>
      </c>
      <c r="AL89">
        <f>SUM(AL91:AL117)</f>
        <v>4.1847443719128403</v>
      </c>
    </row>
    <row r="90" spans="1:38">
      <c r="A90" t="s">
        <v>49</v>
      </c>
      <c r="B90" t="s">
        <v>24</v>
      </c>
      <c r="C90" t="s">
        <v>43</v>
      </c>
      <c r="E90" t="s">
        <v>46</v>
      </c>
      <c r="G90" t="s">
        <v>48</v>
      </c>
      <c r="I90" t="s">
        <v>25</v>
      </c>
      <c r="J90" t="s">
        <v>43</v>
      </c>
      <c r="K90" t="s">
        <v>46</v>
      </c>
      <c r="M90" t="s">
        <v>48</v>
      </c>
      <c r="O90" t="s">
        <v>29</v>
      </c>
      <c r="P90" t="s">
        <v>43</v>
      </c>
      <c r="Q90" t="s">
        <v>46</v>
      </c>
      <c r="U90" t="s">
        <v>31</v>
      </c>
      <c r="V90" t="s">
        <v>43</v>
      </c>
      <c r="W90" t="s">
        <v>46</v>
      </c>
      <c r="Y90" t="s">
        <v>48</v>
      </c>
      <c r="AA90" t="s">
        <v>32</v>
      </c>
      <c r="AB90" t="s">
        <v>43</v>
      </c>
      <c r="AC90" t="s">
        <v>46</v>
      </c>
      <c r="AE90" t="s">
        <v>48</v>
      </c>
      <c r="AH90" t="s">
        <v>34</v>
      </c>
      <c r="AI90" t="s">
        <v>43</v>
      </c>
      <c r="AJ90" t="s">
        <v>46</v>
      </c>
      <c r="AL90" t="s">
        <v>48</v>
      </c>
    </row>
    <row r="91" spans="1:38">
      <c r="A91">
        <v>0.5</v>
      </c>
      <c r="C91">
        <v>4.070394445265179E-2</v>
      </c>
      <c r="E91">
        <f t="shared" ref="E91:E111" si="40">F$91*A91^F$92</f>
        <v>6.4838007977786839E-3</v>
      </c>
      <c r="F91">
        <v>9.6948531894250189E-3</v>
      </c>
      <c r="G91">
        <f t="shared" ref="G91:G111" si="41">ABS(C91-E91)</f>
        <v>3.4220143654873109E-2</v>
      </c>
      <c r="J91">
        <v>4.0830748017924856E-2</v>
      </c>
      <c r="K91">
        <f t="shared" ref="K91:K111" si="42">L$91*A91^L$92</f>
        <v>2.5577085920638074E-3</v>
      </c>
      <c r="L91">
        <v>4.261609974842622E-3</v>
      </c>
      <c r="M91">
        <f t="shared" ref="M91:M111" si="43">ABS(J91-K91)</f>
        <v>3.827303942586105E-2</v>
      </c>
      <c r="P91">
        <v>4.1017875609395779E-2</v>
      </c>
      <c r="Q91">
        <f>R$91*A91^R$92</f>
        <v>4.1017875606803145E-2</v>
      </c>
      <c r="R91">
        <v>4.1064889546290458E-2</v>
      </c>
      <c r="V91">
        <v>4.6240951396070318E-2</v>
      </c>
      <c r="W91">
        <f t="shared" ref="W91:W117" si="44">X$91*A91^X$92+X$93*A91^(2*X$92)</f>
        <v>6.6802253631478986E-2</v>
      </c>
      <c r="X91">
        <v>1.002747421445129E-4</v>
      </c>
      <c r="Y91">
        <f t="shared" ref="Y91:Y117" si="45">ABS(V91-W91)</f>
        <v>2.0561302235408668E-2</v>
      </c>
      <c r="AB91">
        <v>4.4604854950198655E-2</v>
      </c>
      <c r="AC91">
        <f t="shared" ref="AC91:AC117" si="46">AD$91*A91^AD$92+AD$93*A91^(2*AD$92)</f>
        <v>5.4068596939576032E-2</v>
      </c>
      <c r="AD91">
        <v>1.0064201795397636E-4</v>
      </c>
      <c r="AE91">
        <f t="shared" ref="AE91:AE117" si="47">ABS(AB91-AC91)</f>
        <v>9.4637419893773764E-3</v>
      </c>
      <c r="AI91">
        <v>5.8530248190279202E-2</v>
      </c>
      <c r="AJ91">
        <f t="shared" ref="AJ91:AJ117" si="48">AK$91*A91^AK$92+AK$93*A91^(2*AK$92)</f>
        <v>0</v>
      </c>
      <c r="AL91">
        <f t="shared" ref="AL91:AL117" si="49">ABS(AI91-AJ91)</f>
        <v>5.8530248190279202E-2</v>
      </c>
    </row>
    <row r="92" spans="1:38">
      <c r="A92">
        <v>1</v>
      </c>
      <c r="C92">
        <v>6.1622839414980035E-2</v>
      </c>
      <c r="E92">
        <f t="shared" si="40"/>
        <v>9.6948531894250189E-3</v>
      </c>
      <c r="F92">
        <v>0.5803792840307006</v>
      </c>
      <c r="G92">
        <f t="shared" si="41"/>
        <v>5.1927986225555015E-2</v>
      </c>
      <c r="J92">
        <v>6.3334841433988279E-2</v>
      </c>
      <c r="K92">
        <f t="shared" si="42"/>
        <v>4.261609974842622E-3</v>
      </c>
      <c r="L92">
        <v>0.73654666011442271</v>
      </c>
      <c r="M92">
        <f t="shared" si="43"/>
        <v>5.9073231459145656E-2</v>
      </c>
      <c r="P92">
        <v>5.7680233417048296E-2</v>
      </c>
      <c r="Q92">
        <f t="shared" ref="Q92:Q112" si="50">R$50*A92^R$51</f>
        <v>1.8215535412634814E-3</v>
      </c>
      <c r="R92">
        <v>1.6526437588089246E-3</v>
      </c>
      <c r="V92">
        <v>6.9519131334022752E-2</v>
      </c>
      <c r="W92">
        <f t="shared" si="44"/>
        <v>6.9518820808603041E-2</v>
      </c>
      <c r="X92">
        <v>2.8774378782866806E-2</v>
      </c>
      <c r="Y92">
        <f t="shared" si="45"/>
        <v>3.1052541971110514E-7</v>
      </c>
      <c r="AB92">
        <v>5.8179801883198164E-2</v>
      </c>
      <c r="AC92">
        <f t="shared" si="46"/>
        <v>5.8179778121668781E-2</v>
      </c>
      <c r="AD92">
        <v>5.2910048613914247E-2</v>
      </c>
      <c r="AE92">
        <f t="shared" si="47"/>
        <v>2.3761529382992919E-8</v>
      </c>
      <c r="AI92">
        <v>7.4757626680455005E-2</v>
      </c>
      <c r="AJ92">
        <f t="shared" si="48"/>
        <v>0</v>
      </c>
      <c r="AL92">
        <f t="shared" si="49"/>
        <v>7.4757626680455005E-2</v>
      </c>
    </row>
    <row r="93" spans="1:38">
      <c r="A93">
        <v>2</v>
      </c>
      <c r="C93">
        <v>6.4563635692125851E-2</v>
      </c>
      <c r="E93">
        <f t="shared" si="40"/>
        <v>1.4496154538971184E-2</v>
      </c>
      <c r="G93">
        <f t="shared" si="41"/>
        <v>5.0067481153154667E-2</v>
      </c>
      <c r="J93">
        <v>6.8753231644260587E-2</v>
      </c>
      <c r="K93">
        <f t="shared" si="42"/>
        <v>7.1006210926569304E-3</v>
      </c>
      <c r="M93">
        <f t="shared" si="43"/>
        <v>6.1652610551603655E-2</v>
      </c>
      <c r="P93">
        <v>6.3859598906780904E-2</v>
      </c>
      <c r="Q93">
        <f t="shared" si="50"/>
        <v>3.3163610906867948E-3</v>
      </c>
      <c r="V93">
        <v>7.4925672182006187E-2</v>
      </c>
      <c r="W93">
        <f t="shared" si="44"/>
        <v>7.2345900819689821E-2</v>
      </c>
      <c r="X93">
        <v>6.9418546066458531E-2</v>
      </c>
      <c r="Y93">
        <f t="shared" si="45"/>
        <v>2.5797713623163659E-3</v>
      </c>
      <c r="AB93">
        <v>6.9331525880367909E-2</v>
      </c>
      <c r="AC93">
        <f t="shared" si="46"/>
        <v>6.2603704121198853E-2</v>
      </c>
      <c r="AD93">
        <v>5.8079136103714804E-2</v>
      </c>
      <c r="AE93">
        <f t="shared" si="47"/>
        <v>6.7278217591690559E-3</v>
      </c>
      <c r="AI93">
        <v>8.6987784384694899E-2</v>
      </c>
      <c r="AJ93">
        <f t="shared" si="48"/>
        <v>0</v>
      </c>
      <c r="AL93">
        <f t="shared" si="49"/>
        <v>8.6987784384694899E-2</v>
      </c>
    </row>
    <row r="94" spans="1:38">
      <c r="A94">
        <v>3</v>
      </c>
      <c r="C94">
        <v>7.4017637852710857E-2</v>
      </c>
      <c r="E94">
        <f t="shared" si="40"/>
        <v>1.8342246647472998E-2</v>
      </c>
      <c r="G94">
        <f t="shared" si="41"/>
        <v>5.5675391205237859E-2</v>
      </c>
      <c r="J94">
        <v>8.06732861513271E-2</v>
      </c>
      <c r="K94">
        <f t="shared" si="42"/>
        <v>9.5718474157271902E-3</v>
      </c>
      <c r="M94">
        <f t="shared" si="43"/>
        <v>7.1101438735599903E-2</v>
      </c>
      <c r="P94">
        <v>7.1904084798345369E-2</v>
      </c>
      <c r="Q94">
        <f t="shared" si="50"/>
        <v>4.7084794257459348E-3</v>
      </c>
      <c r="V94">
        <v>8.0063986556359837E-2</v>
      </c>
      <c r="W94">
        <f t="shared" si="44"/>
        <v>7.4052655871476275E-2</v>
      </c>
      <c r="Y94">
        <f t="shared" si="45"/>
        <v>6.0113306848835618E-3</v>
      </c>
      <c r="AB94">
        <v>7.899456743591135E-2</v>
      </c>
      <c r="AC94">
        <f t="shared" si="46"/>
        <v>6.5345946371556538E-2</v>
      </c>
      <c r="AE94">
        <f t="shared" si="47"/>
        <v>1.3648621064354813E-2</v>
      </c>
      <c r="AI94">
        <v>0.10269811999095134</v>
      </c>
      <c r="AJ94">
        <f t="shared" si="48"/>
        <v>0</v>
      </c>
      <c r="AL94">
        <f t="shared" si="49"/>
        <v>0.10269811999095134</v>
      </c>
    </row>
    <row r="95" spans="1:38">
      <c r="A95">
        <v>4</v>
      </c>
      <c r="C95">
        <v>8.1620658055104114E-2</v>
      </c>
      <c r="E95">
        <f t="shared" si="40"/>
        <v>2.1675263390986715E-2</v>
      </c>
      <c r="G95">
        <f t="shared" si="41"/>
        <v>5.9945394664117399E-2</v>
      </c>
      <c r="J95">
        <v>8.3115954762366398E-2</v>
      </c>
      <c r="K95">
        <f t="shared" si="42"/>
        <v>1.1830932487749874E-2</v>
      </c>
      <c r="M95">
        <f t="shared" si="43"/>
        <v>7.1285022274616527E-2</v>
      </c>
      <c r="P95">
        <v>7.3225957143780426E-2</v>
      </c>
      <c r="Q95">
        <f t="shared" si="50"/>
        <v>6.0378411255441918E-3</v>
      </c>
      <c r="V95">
        <v>8.0063986556359837E-2</v>
      </c>
      <c r="W95">
        <f t="shared" si="44"/>
        <v>7.5287990279725811E-2</v>
      </c>
      <c r="Y95">
        <f t="shared" si="45"/>
        <v>4.7759962766340258E-3</v>
      </c>
      <c r="AB95">
        <v>7.9379255352623371E-2</v>
      </c>
      <c r="AC95">
        <f t="shared" si="46"/>
        <v>6.7364171426329653E-2</v>
      </c>
      <c r="AE95">
        <f t="shared" si="47"/>
        <v>1.2015083926293718E-2</v>
      </c>
      <c r="AI95">
        <v>0.10269811999095134</v>
      </c>
      <c r="AJ95">
        <f t="shared" si="48"/>
        <v>0</v>
      </c>
      <c r="AL95">
        <f t="shared" si="49"/>
        <v>0.10269811999095134</v>
      </c>
    </row>
    <row r="96" spans="1:38">
      <c r="A96">
        <v>26</v>
      </c>
      <c r="C96">
        <v>8.1620658055104114E-2</v>
      </c>
      <c r="E96">
        <f t="shared" si="40"/>
        <v>6.4233628483037819E-2</v>
      </c>
      <c r="G96">
        <f t="shared" si="41"/>
        <v>1.7387029572066295E-2</v>
      </c>
      <c r="J96">
        <v>8.3115954762366398E-2</v>
      </c>
      <c r="K96">
        <f t="shared" si="42"/>
        <v>4.6964271917334967E-2</v>
      </c>
      <c r="M96">
        <f t="shared" si="43"/>
        <v>3.6151682845031431E-2</v>
      </c>
      <c r="P96">
        <v>7.3225957143780426E-2</v>
      </c>
      <c r="Q96">
        <f t="shared" si="50"/>
        <v>3.0450172255589578E-2</v>
      </c>
      <c r="V96">
        <v>8.0063986556359837E-2</v>
      </c>
      <c r="W96">
        <f t="shared" si="44"/>
        <v>8.3844830774477075E-2</v>
      </c>
      <c r="Y96">
        <f t="shared" si="45"/>
        <v>3.780844218117238E-3</v>
      </c>
      <c r="AB96">
        <v>8.7925107388389129E-2</v>
      </c>
      <c r="AC96">
        <f t="shared" si="46"/>
        <v>8.2108043246764822E-2</v>
      </c>
      <c r="AE96">
        <f t="shared" si="47"/>
        <v>5.8170641416243063E-3</v>
      </c>
      <c r="AI96">
        <v>0.10750582200911314</v>
      </c>
      <c r="AJ96">
        <f t="shared" si="48"/>
        <v>0</v>
      </c>
      <c r="AL96">
        <f t="shared" si="49"/>
        <v>0.10750582200911314</v>
      </c>
    </row>
    <row r="97" spans="1:38">
      <c r="A97">
        <v>29</v>
      </c>
      <c r="C97">
        <v>8.1620658055104114E-2</v>
      </c>
      <c r="E97">
        <f t="shared" si="40"/>
        <v>6.8436334422106074E-2</v>
      </c>
      <c r="G97">
        <f t="shared" si="41"/>
        <v>1.3184323632998041E-2</v>
      </c>
      <c r="J97">
        <v>8.3115954762366398E-2</v>
      </c>
      <c r="K97">
        <f t="shared" si="42"/>
        <v>5.0897688728698279E-2</v>
      </c>
      <c r="M97">
        <f t="shared" si="43"/>
        <v>3.2218266033668119E-2</v>
      </c>
      <c r="P97">
        <v>7.3225957143780426E-2</v>
      </c>
      <c r="Q97">
        <f t="shared" si="50"/>
        <v>3.3464560402407445E-2</v>
      </c>
      <c r="V97">
        <v>8.0063986556359837E-2</v>
      </c>
      <c r="W97">
        <f t="shared" si="44"/>
        <v>8.437304687080581E-2</v>
      </c>
      <c r="Y97">
        <f t="shared" si="45"/>
        <v>4.3090603144459727E-3</v>
      </c>
      <c r="AB97">
        <v>8.7925107388389129E-2</v>
      </c>
      <c r="AC97">
        <f t="shared" si="46"/>
        <v>8.3061647260439769E-2</v>
      </c>
      <c r="AE97">
        <f t="shared" si="47"/>
        <v>4.8634601279493594E-3</v>
      </c>
      <c r="AI97">
        <v>0.10750582200911314</v>
      </c>
      <c r="AJ97">
        <f t="shared" si="48"/>
        <v>0</v>
      </c>
      <c r="AL97">
        <f t="shared" si="49"/>
        <v>0.10750582200911314</v>
      </c>
    </row>
    <row r="98" spans="1:38">
      <c r="A98">
        <v>47.5</v>
      </c>
      <c r="C98">
        <v>8.1620658055104114E-2</v>
      </c>
      <c r="E98">
        <f t="shared" si="40"/>
        <v>9.1129602007477675E-2</v>
      </c>
      <c r="G98">
        <f t="shared" si="41"/>
        <v>9.5089439523735608E-3</v>
      </c>
      <c r="J98">
        <v>8.3115954762366398E-2</v>
      </c>
      <c r="K98">
        <f t="shared" si="42"/>
        <v>7.3204331412797113E-2</v>
      </c>
      <c r="M98">
        <f t="shared" si="43"/>
        <v>9.9116233495692846E-3</v>
      </c>
      <c r="P98">
        <v>7.3225957143780426E-2</v>
      </c>
      <c r="Q98">
        <f t="shared" si="50"/>
        <v>5.1265954028325164E-2</v>
      </c>
      <c r="V98">
        <v>8.3508141408168715E-2</v>
      </c>
      <c r="W98">
        <f t="shared" si="44"/>
        <v>8.680168619844908E-2</v>
      </c>
      <c r="Y98">
        <f t="shared" si="45"/>
        <v>3.2935447902803644E-3</v>
      </c>
      <c r="AB98">
        <v>8.9674608984996795E-2</v>
      </c>
      <c r="AC98">
        <f t="shared" si="46"/>
        <v>8.751069175386389E-2</v>
      </c>
      <c r="AE98">
        <f t="shared" si="47"/>
        <v>2.1639172311329058E-3</v>
      </c>
      <c r="AI98">
        <v>0.10939640490937247</v>
      </c>
      <c r="AJ98">
        <f t="shared" si="48"/>
        <v>0</v>
      </c>
      <c r="AL98">
        <f t="shared" si="49"/>
        <v>0.10939640490937247</v>
      </c>
    </row>
    <row r="99" spans="1:38">
      <c r="A99">
        <v>67</v>
      </c>
      <c r="C99">
        <v>8.1620658055104114E-2</v>
      </c>
      <c r="E99">
        <f t="shared" si="40"/>
        <v>0.11126465444001175</v>
      </c>
      <c r="G99">
        <f t="shared" si="41"/>
        <v>2.9643996384907639E-2</v>
      </c>
      <c r="J99">
        <v>8.3115954762366398E-2</v>
      </c>
      <c r="K99">
        <f t="shared" si="42"/>
        <v>9.431114062179613E-2</v>
      </c>
      <c r="M99">
        <f t="shared" si="43"/>
        <v>1.1195185859429732E-2</v>
      </c>
      <c r="P99">
        <v>7.3225957143780426E-2</v>
      </c>
      <c r="Q99">
        <f t="shared" si="50"/>
        <v>6.9017445662860971E-2</v>
      </c>
      <c r="V99">
        <v>8.5184714663484748E-2</v>
      </c>
      <c r="W99">
        <f t="shared" si="44"/>
        <v>8.8535886921087006E-2</v>
      </c>
      <c r="Y99">
        <f t="shared" si="45"/>
        <v>3.3511722576022585E-3</v>
      </c>
      <c r="AB99">
        <v>8.9674608984996795E-2</v>
      </c>
      <c r="AC99">
        <f t="shared" si="46"/>
        <v>9.075229157515903E-2</v>
      </c>
      <c r="AE99">
        <f t="shared" si="47"/>
        <v>1.077682590162235E-3</v>
      </c>
      <c r="AI99">
        <v>0.11330738185973289</v>
      </c>
      <c r="AJ99">
        <f t="shared" si="48"/>
        <v>0</v>
      </c>
      <c r="AL99">
        <f t="shared" si="49"/>
        <v>0.11330738185973289</v>
      </c>
    </row>
    <row r="100" spans="1:38">
      <c r="A100">
        <v>73.5</v>
      </c>
      <c r="C100">
        <v>8.1620658055104114E-2</v>
      </c>
      <c r="E100">
        <f t="shared" si="40"/>
        <v>0.1174074745801203</v>
      </c>
      <c r="G100">
        <f t="shared" si="41"/>
        <v>3.5786816525016182E-2</v>
      </c>
      <c r="J100">
        <v>8.3115954762366398E-2</v>
      </c>
      <c r="K100">
        <f t="shared" si="42"/>
        <v>0.10096745435058498</v>
      </c>
      <c r="M100">
        <f t="shared" si="43"/>
        <v>1.7851499588218578E-2</v>
      </c>
      <c r="P100">
        <v>7.3225957143780426E-2</v>
      </c>
      <c r="Q100">
        <f t="shared" si="50"/>
        <v>7.4768707476311175E-2</v>
      </c>
      <c r="V100">
        <v>8.5184714663484748E-2</v>
      </c>
      <c r="W100">
        <f t="shared" si="44"/>
        <v>8.9008615683197581E-2</v>
      </c>
      <c r="Y100">
        <f t="shared" si="45"/>
        <v>3.8239010197128331E-3</v>
      </c>
      <c r="AB100">
        <v>8.9674608984996795E-2</v>
      </c>
      <c r="AC100">
        <f t="shared" si="46"/>
        <v>9.1645248776091537E-2</v>
      </c>
      <c r="AE100">
        <f t="shared" si="47"/>
        <v>1.9706397910947415E-3</v>
      </c>
      <c r="AI100">
        <v>0.11330738185973289</v>
      </c>
      <c r="AJ100">
        <f t="shared" si="48"/>
        <v>0</v>
      </c>
      <c r="AL100">
        <f t="shared" si="49"/>
        <v>0.11330738185973289</v>
      </c>
    </row>
    <row r="101" spans="1:38">
      <c r="A101">
        <v>113</v>
      </c>
      <c r="C101">
        <v>8.1620658055104114E-2</v>
      </c>
      <c r="E101">
        <f t="shared" si="40"/>
        <v>0.15069728706135099</v>
      </c>
      <c r="G101">
        <f t="shared" si="41"/>
        <v>6.9076629006246879E-2</v>
      </c>
      <c r="J101">
        <v>8.3115954762366398E-2</v>
      </c>
      <c r="K101">
        <f t="shared" si="42"/>
        <v>0.13859953422627019</v>
      </c>
      <c r="M101">
        <f t="shared" si="43"/>
        <v>5.5483579463903795E-2</v>
      </c>
      <c r="P101">
        <v>7.3225957143780426E-2</v>
      </c>
      <c r="Q101">
        <f t="shared" si="50"/>
        <v>0.108439629350377</v>
      </c>
      <c r="V101">
        <v>8.5523727637905264E-2</v>
      </c>
      <c r="W101">
        <f t="shared" si="44"/>
        <v>9.1237805897455976E-2</v>
      </c>
      <c r="Y101">
        <f t="shared" si="45"/>
        <v>5.7140782595507117E-3</v>
      </c>
      <c r="AB101">
        <v>9.1469634022404017E-2</v>
      </c>
      <c r="AC101">
        <f t="shared" si="46"/>
        <v>9.5909745108446576E-2</v>
      </c>
      <c r="AE101">
        <f t="shared" si="47"/>
        <v>4.4401110860425586E-3</v>
      </c>
      <c r="AI101">
        <v>0.11773959125826483</v>
      </c>
      <c r="AJ101">
        <f t="shared" si="48"/>
        <v>0</v>
      </c>
      <c r="AL101">
        <f t="shared" si="49"/>
        <v>0.11773959125826483</v>
      </c>
    </row>
    <row r="102" spans="1:38">
      <c r="A102">
        <v>166</v>
      </c>
      <c r="C102">
        <v>0.2105502404293467</v>
      </c>
      <c r="E102">
        <f t="shared" si="40"/>
        <v>0.18838485251445211</v>
      </c>
      <c r="G102">
        <f t="shared" si="41"/>
        <v>2.2165387914894585E-2</v>
      </c>
      <c r="J102">
        <v>0.16237349050059785</v>
      </c>
      <c r="K102">
        <f t="shared" si="42"/>
        <v>0.18398689813963492</v>
      </c>
      <c r="M102">
        <f t="shared" si="43"/>
        <v>2.1613407639037074E-2</v>
      </c>
      <c r="P102">
        <v>0.18552670766849727</v>
      </c>
      <c r="Q102">
        <f t="shared" si="50"/>
        <v>0.15120764295579731</v>
      </c>
      <c r="V102">
        <v>9.8236714178674966E-2</v>
      </c>
      <c r="W102">
        <f t="shared" si="44"/>
        <v>9.3278416029300898E-2</v>
      </c>
      <c r="Y102">
        <f t="shared" si="45"/>
        <v>4.9582981493740685E-3</v>
      </c>
      <c r="AB102">
        <v>9.9890466913493986E-2</v>
      </c>
      <c r="AC102">
        <f t="shared" si="46"/>
        <v>9.9890926477414779E-2</v>
      </c>
      <c r="AE102">
        <f t="shared" si="47"/>
        <v>4.5956392079327113E-7</v>
      </c>
      <c r="AI102">
        <v>0.12843908632276205</v>
      </c>
      <c r="AJ102">
        <f t="shared" si="48"/>
        <v>0</v>
      </c>
      <c r="AL102">
        <f t="shared" si="49"/>
        <v>0.12843908632276205</v>
      </c>
    </row>
    <row r="103" spans="1:38">
      <c r="A103">
        <v>188</v>
      </c>
      <c r="C103">
        <v>0.2105502404293467</v>
      </c>
      <c r="E103">
        <f t="shared" si="40"/>
        <v>0.20249548356579355</v>
      </c>
      <c r="G103">
        <f t="shared" si="41"/>
        <v>8.0547568635531419E-3</v>
      </c>
      <c r="J103">
        <v>0.16622340257842327</v>
      </c>
      <c r="K103">
        <f t="shared" si="42"/>
        <v>0.2016494625101404</v>
      </c>
      <c r="M103">
        <f t="shared" si="43"/>
        <v>3.542605993171713E-2</v>
      </c>
      <c r="P103">
        <v>0.18552670766849727</v>
      </c>
      <c r="Q103">
        <f t="shared" si="50"/>
        <v>0.16838215771485315</v>
      </c>
      <c r="V103">
        <v>9.8236714178674966E-2</v>
      </c>
      <c r="W103">
        <f t="shared" si="44"/>
        <v>9.3948473055895196E-2</v>
      </c>
      <c r="Y103">
        <f t="shared" si="45"/>
        <v>4.2882411227797707E-3</v>
      </c>
      <c r="AB103">
        <v>9.9890466913493986E-2</v>
      </c>
      <c r="AC103">
        <f t="shared" si="46"/>
        <v>0.10121428893547973</v>
      </c>
      <c r="AE103">
        <f t="shared" si="47"/>
        <v>1.3238220219857488E-3</v>
      </c>
      <c r="AI103">
        <v>0.12843908632276205</v>
      </c>
      <c r="AJ103">
        <f t="shared" si="48"/>
        <v>0</v>
      </c>
      <c r="AL103">
        <f t="shared" si="49"/>
        <v>0.12843908632276205</v>
      </c>
    </row>
    <row r="104" spans="1:38">
      <c r="A104">
        <v>237</v>
      </c>
      <c r="C104">
        <v>0.26213977886821987</v>
      </c>
      <c r="E104">
        <f t="shared" si="40"/>
        <v>0.23163062642646126</v>
      </c>
      <c r="G104">
        <f t="shared" si="41"/>
        <v>3.0509152441758614E-2</v>
      </c>
      <c r="J104">
        <v>0.23991410566416141</v>
      </c>
      <c r="K104">
        <f t="shared" si="42"/>
        <v>0.23915896384066712</v>
      </c>
      <c r="M104">
        <f t="shared" si="43"/>
        <v>7.5514182349428749E-4</v>
      </c>
      <c r="P104">
        <v>0.19697432897017442</v>
      </c>
      <c r="Q104">
        <f t="shared" si="50"/>
        <v>0.20570729069304597</v>
      </c>
      <c r="V104">
        <v>9.8236714178674966E-2</v>
      </c>
      <c r="W104">
        <f t="shared" si="44"/>
        <v>9.5208342438573457E-2</v>
      </c>
      <c r="Y104">
        <f t="shared" si="45"/>
        <v>3.0283717401015098E-3</v>
      </c>
      <c r="AB104">
        <v>9.9890466913493986E-2</v>
      </c>
      <c r="AC104">
        <f t="shared" si="46"/>
        <v>0.10372403079286094</v>
      </c>
      <c r="AE104">
        <f t="shared" si="47"/>
        <v>3.8335638793669524E-3</v>
      </c>
      <c r="AI104">
        <v>0.12843908632276205</v>
      </c>
      <c r="AJ104">
        <f t="shared" si="48"/>
        <v>0</v>
      </c>
      <c r="AL104">
        <f t="shared" si="49"/>
        <v>0.12843908632276205</v>
      </c>
    </row>
    <row r="105" spans="1:38">
      <c r="A105">
        <v>276</v>
      </c>
      <c r="C105">
        <v>0.26213977886821987</v>
      </c>
      <c r="E105">
        <f t="shared" si="40"/>
        <v>0.25304298514986223</v>
      </c>
      <c r="G105">
        <f t="shared" si="41"/>
        <v>9.0967937183576431E-3</v>
      </c>
      <c r="J105">
        <v>0.2675618354168674</v>
      </c>
      <c r="K105">
        <f t="shared" si="42"/>
        <v>0.26755750184384197</v>
      </c>
      <c r="M105">
        <f t="shared" si="43"/>
        <v>4.333573025427917E-6</v>
      </c>
      <c r="P105">
        <v>0.22648352883379971</v>
      </c>
      <c r="Q105">
        <f t="shared" si="50"/>
        <v>0.23466111052428817</v>
      </c>
      <c r="V105">
        <v>9.8236714178674966E-2</v>
      </c>
      <c r="W105">
        <f t="shared" si="44"/>
        <v>9.604618758193853E-2</v>
      </c>
      <c r="Y105">
        <f t="shared" si="45"/>
        <v>2.1905265967364362E-3</v>
      </c>
      <c r="AB105">
        <v>9.9890466913493986E-2</v>
      </c>
      <c r="AC105">
        <f t="shared" si="46"/>
        <v>0.10540858975712358</v>
      </c>
      <c r="AE105">
        <f t="shared" si="47"/>
        <v>5.518122843629597E-3</v>
      </c>
      <c r="AI105">
        <v>0.12843908632276205</v>
      </c>
      <c r="AJ105">
        <f t="shared" si="48"/>
        <v>0</v>
      </c>
      <c r="AL105">
        <f t="shared" si="49"/>
        <v>0.12843908632276205</v>
      </c>
    </row>
    <row r="106" spans="1:38">
      <c r="A106">
        <v>305</v>
      </c>
      <c r="C106">
        <v>0.26213977886821987</v>
      </c>
      <c r="E106">
        <f t="shared" si="40"/>
        <v>0.2681497515790825</v>
      </c>
      <c r="G106">
        <f t="shared" si="41"/>
        <v>6.0099727108626211E-3</v>
      </c>
      <c r="J106">
        <v>0.27799586524912528</v>
      </c>
      <c r="K106">
        <f t="shared" si="42"/>
        <v>0.28798936464109387</v>
      </c>
      <c r="M106">
        <f t="shared" si="43"/>
        <v>9.9934993919685855E-3</v>
      </c>
      <c r="P106">
        <v>0.25171834545024635</v>
      </c>
      <c r="Q106">
        <f t="shared" si="50"/>
        <v>0.25582881994727602</v>
      </c>
      <c r="V106">
        <v>9.8236714178674966E-2</v>
      </c>
      <c r="W106">
        <f t="shared" si="44"/>
        <v>9.6599679359942389E-2</v>
      </c>
      <c r="Y106">
        <f t="shared" si="45"/>
        <v>1.6370348187325773E-3</v>
      </c>
      <c r="AB106">
        <v>9.9890466913493986E-2</v>
      </c>
      <c r="AC106">
        <f t="shared" si="46"/>
        <v>0.10652822084760728</v>
      </c>
      <c r="AE106">
        <f t="shared" si="47"/>
        <v>6.6377539341132968E-3</v>
      </c>
      <c r="AI106">
        <v>0.12843908632276205</v>
      </c>
      <c r="AJ106">
        <f t="shared" si="48"/>
        <v>0</v>
      </c>
      <c r="AL106">
        <f t="shared" si="49"/>
        <v>0.12843908632276205</v>
      </c>
    </row>
    <row r="107" spans="1:38">
      <c r="A107">
        <v>376</v>
      </c>
      <c r="C107">
        <v>0.26213977886821987</v>
      </c>
      <c r="E107">
        <f t="shared" si="40"/>
        <v>0.30277981170620866</v>
      </c>
      <c r="G107">
        <f t="shared" si="41"/>
        <v>4.0640032837988782E-2</v>
      </c>
      <c r="J107">
        <v>0.3395345975344492</v>
      </c>
      <c r="K107">
        <f t="shared" si="42"/>
        <v>0.33598485907319853</v>
      </c>
      <c r="M107">
        <f t="shared" si="43"/>
        <v>3.5497384612506733E-3</v>
      </c>
      <c r="P107">
        <v>0.27056048181735187</v>
      </c>
      <c r="Q107">
        <f t="shared" si="50"/>
        <v>0.3065603198378089</v>
      </c>
      <c r="V107">
        <v>9.8236714178674966E-2</v>
      </c>
      <c r="W107">
        <f t="shared" si="44"/>
        <v>9.7769408069704966E-2</v>
      </c>
      <c r="Y107">
        <f t="shared" si="45"/>
        <v>4.6730610897000036E-4</v>
      </c>
      <c r="AB107">
        <v>9.9890466913493986E-2</v>
      </c>
      <c r="AC107">
        <f t="shared" si="46"/>
        <v>0.1089121512302258</v>
      </c>
      <c r="AE107">
        <f t="shared" si="47"/>
        <v>9.0216843167318095E-3</v>
      </c>
      <c r="AI107">
        <v>0.12843908632276205</v>
      </c>
      <c r="AJ107">
        <f t="shared" si="48"/>
        <v>0</v>
      </c>
      <c r="AL107">
        <f t="shared" si="49"/>
        <v>0.12843908632276205</v>
      </c>
    </row>
    <row r="108" spans="1:38">
      <c r="A108">
        <v>408.5</v>
      </c>
      <c r="C108">
        <v>0.29719664952293989</v>
      </c>
      <c r="E108">
        <f t="shared" si="40"/>
        <v>0.3177042434995479</v>
      </c>
      <c r="G108">
        <f t="shared" si="41"/>
        <v>2.0507593976608007E-2</v>
      </c>
      <c r="J108">
        <v>0.41446795438436485</v>
      </c>
      <c r="K108">
        <f t="shared" si="42"/>
        <v>0.35713999783032274</v>
      </c>
      <c r="M108">
        <f t="shared" si="43"/>
        <v>5.7327956554042103E-2</v>
      </c>
      <c r="P108">
        <v>0.30539744007268987</v>
      </c>
      <c r="Q108">
        <f t="shared" si="50"/>
        <v>0.32933593902112707</v>
      </c>
      <c r="V108">
        <v>9.8236714178674966E-2</v>
      </c>
      <c r="W108">
        <f t="shared" si="44"/>
        <v>9.8236690933176454E-2</v>
      </c>
      <c r="Y108">
        <f t="shared" si="45"/>
        <v>2.3245498512181051E-8</v>
      </c>
      <c r="AB108">
        <v>9.9890466913493986E-2</v>
      </c>
      <c r="AC108">
        <f t="shared" si="46"/>
        <v>0.10987120867428184</v>
      </c>
      <c r="AE108">
        <f t="shared" si="47"/>
        <v>9.9807417607878507E-3</v>
      </c>
      <c r="AI108">
        <v>0.14190647967287393</v>
      </c>
      <c r="AJ108">
        <f t="shared" si="48"/>
        <v>0</v>
      </c>
      <c r="AL108">
        <f t="shared" si="49"/>
        <v>0.14190647967287393</v>
      </c>
    </row>
    <row r="109" spans="1:38">
      <c r="A109">
        <v>452</v>
      </c>
      <c r="C109">
        <v>0.33090189868241232</v>
      </c>
      <c r="E109">
        <f t="shared" si="40"/>
        <v>0.33692138762089285</v>
      </c>
      <c r="G109">
        <f t="shared" si="41"/>
        <v>6.0194889384805328E-3</v>
      </c>
      <c r="J109">
        <v>0.41446795438436485</v>
      </c>
      <c r="K109">
        <f t="shared" si="42"/>
        <v>0.38477517697408142</v>
      </c>
      <c r="M109">
        <f t="shared" si="43"/>
        <v>2.9692777410283422E-2</v>
      </c>
      <c r="P109">
        <v>0.30539744007268987</v>
      </c>
      <c r="Q109">
        <f t="shared" si="50"/>
        <v>0.35944112478644363</v>
      </c>
      <c r="V109">
        <v>9.8236714178674966E-2</v>
      </c>
      <c r="W109">
        <f t="shared" si="44"/>
        <v>9.8810080221603605E-2</v>
      </c>
      <c r="Y109">
        <f t="shared" si="45"/>
        <v>5.7336604292863858E-4</v>
      </c>
      <c r="AB109">
        <v>9.9890466913493986E-2</v>
      </c>
      <c r="AC109">
        <f t="shared" si="46"/>
        <v>0.11105328045339016</v>
      </c>
      <c r="AE109">
        <f t="shared" si="47"/>
        <v>1.1162813539896177E-2</v>
      </c>
      <c r="AI109">
        <v>0.19529362615174634</v>
      </c>
      <c r="AJ109">
        <f t="shared" si="48"/>
        <v>0</v>
      </c>
      <c r="AL109">
        <f t="shared" si="49"/>
        <v>0.19529362615174634</v>
      </c>
    </row>
    <row r="110" spans="1:38">
      <c r="A110">
        <v>500</v>
      </c>
      <c r="C110">
        <v>0.35724693832348414</v>
      </c>
      <c r="E110">
        <f t="shared" si="40"/>
        <v>0.357246115837352</v>
      </c>
      <c r="G110">
        <f t="shared" si="41"/>
        <v>8.2248613214597199E-7</v>
      </c>
      <c r="J110">
        <v>0.41446795438436485</v>
      </c>
      <c r="K110">
        <f t="shared" si="42"/>
        <v>0.41446803560961071</v>
      </c>
      <c r="M110">
        <f t="shared" si="43"/>
        <v>8.1225245862626139E-8</v>
      </c>
      <c r="P110">
        <v>0.37569871706042163</v>
      </c>
      <c r="Q110">
        <f t="shared" si="50"/>
        <v>0.39220864550461965</v>
      </c>
      <c r="V110">
        <v>9.8236714178674966E-2</v>
      </c>
      <c r="W110">
        <f t="shared" si="44"/>
        <v>9.9385306262964573E-2</v>
      </c>
      <c r="Y110">
        <f t="shared" si="45"/>
        <v>1.1485920842896069E-3</v>
      </c>
      <c r="AB110">
        <v>0.1053693680504062</v>
      </c>
      <c r="AC110">
        <f t="shared" si="46"/>
        <v>0.11224493587670581</v>
      </c>
      <c r="AE110">
        <f t="shared" si="47"/>
        <v>6.8755678262996112E-3</v>
      </c>
      <c r="AI110">
        <v>0.20935080625283659</v>
      </c>
      <c r="AJ110">
        <f t="shared" si="48"/>
        <v>0</v>
      </c>
      <c r="AL110">
        <f t="shared" si="49"/>
        <v>0.20935080625283659</v>
      </c>
    </row>
    <row r="111" spans="1:38">
      <c r="A111">
        <v>548</v>
      </c>
      <c r="C111">
        <v>0.42477532300658166</v>
      </c>
      <c r="E111">
        <f t="shared" si="40"/>
        <v>0.37676689539210584</v>
      </c>
      <c r="G111">
        <f t="shared" si="41"/>
        <v>4.8008427614475824E-2</v>
      </c>
      <c r="J111">
        <v>0.41446795438436485</v>
      </c>
      <c r="K111">
        <f t="shared" si="42"/>
        <v>0.44341805580744453</v>
      </c>
      <c r="M111">
        <f t="shared" si="43"/>
        <v>2.8950101423079688E-2</v>
      </c>
      <c r="P111">
        <v>0.41068021424919882</v>
      </c>
      <c r="Q111">
        <f t="shared" si="50"/>
        <v>0.42455178143346101</v>
      </c>
      <c r="V111">
        <v>9.8236714178674966E-2</v>
      </c>
      <c r="W111">
        <f t="shared" si="44"/>
        <v>9.9910664633856797E-2</v>
      </c>
      <c r="Y111">
        <f t="shared" si="45"/>
        <v>1.6739504551818302E-3</v>
      </c>
      <c r="AB111">
        <v>0.12675481774880845</v>
      </c>
      <c r="AC111">
        <f t="shared" si="46"/>
        <v>0.11333835247660562</v>
      </c>
      <c r="AE111">
        <f t="shared" si="47"/>
        <v>1.3416465272202832E-2</v>
      </c>
      <c r="AI111">
        <v>0.21964343907953446</v>
      </c>
      <c r="AJ111">
        <f t="shared" si="48"/>
        <v>0</v>
      </c>
      <c r="AL111">
        <f t="shared" si="49"/>
        <v>0.21964343907953446</v>
      </c>
    </row>
    <row r="112" spans="1:38">
      <c r="A112">
        <v>620</v>
      </c>
      <c r="G112">
        <f>SUM(G91:G111)</f>
        <v>0.61743656547965853</v>
      </c>
      <c r="M112">
        <f>SUM(M91:M111)</f>
        <v>0.65151027701979203</v>
      </c>
      <c r="P112">
        <v>0.57021121791230411</v>
      </c>
      <c r="Q112">
        <f t="shared" si="50"/>
        <v>0.47236077720797004</v>
      </c>
      <c r="V112">
        <v>9.8236714178674966E-2</v>
      </c>
      <c r="W112">
        <f t="shared" si="44"/>
        <v>0.10062253375456499</v>
      </c>
      <c r="Y112">
        <f t="shared" si="45"/>
        <v>2.3858195758900275E-3</v>
      </c>
      <c r="AB112">
        <v>0.14870676942597644</v>
      </c>
      <c r="AC112">
        <f t="shared" si="46"/>
        <v>0.11482766282672784</v>
      </c>
      <c r="AE112">
        <f t="shared" si="47"/>
        <v>3.3879106599248601E-2</v>
      </c>
      <c r="AI112">
        <v>0.25891353327943589</v>
      </c>
      <c r="AJ112">
        <f t="shared" si="48"/>
        <v>0</v>
      </c>
      <c r="AL112">
        <f t="shared" si="49"/>
        <v>0.25891353327943589</v>
      </c>
    </row>
    <row r="113" spans="1:38">
      <c r="A113">
        <v>716</v>
      </c>
      <c r="V113">
        <v>9.8236714178674966E-2</v>
      </c>
      <c r="W113">
        <f t="shared" si="44"/>
        <v>0.10145912704798649</v>
      </c>
      <c r="Y113">
        <f t="shared" si="45"/>
        <v>3.2224128693115195E-3</v>
      </c>
      <c r="AB113">
        <v>0.1758147742692534</v>
      </c>
      <c r="AC113">
        <f t="shared" si="46"/>
        <v>0.1165892423715378</v>
      </c>
      <c r="AE113">
        <f t="shared" si="47"/>
        <v>5.9225531897715608E-2</v>
      </c>
      <c r="AI113">
        <v>0.25891353327943589</v>
      </c>
      <c r="AJ113">
        <f t="shared" si="48"/>
        <v>0</v>
      </c>
      <c r="AL113">
        <f t="shared" si="49"/>
        <v>0.25891353327943589</v>
      </c>
    </row>
    <row r="114" spans="1:38">
      <c r="A114">
        <v>788</v>
      </c>
      <c r="V114">
        <v>0.10195929168603962</v>
      </c>
      <c r="W114">
        <f t="shared" si="44"/>
        <v>0.10201980313546975</v>
      </c>
      <c r="Y114">
        <f t="shared" si="45"/>
        <v>6.0511449430131203E-5</v>
      </c>
      <c r="AB114">
        <v>0.21018385183840801</v>
      </c>
      <c r="AC114">
        <f t="shared" si="46"/>
        <v>0.11777668007291045</v>
      </c>
      <c r="AE114">
        <f t="shared" si="47"/>
        <v>9.2407171765497564E-2</v>
      </c>
      <c r="AI114">
        <v>0.25891353327943589</v>
      </c>
      <c r="AJ114">
        <f t="shared" si="48"/>
        <v>0</v>
      </c>
      <c r="AL114">
        <f t="shared" si="49"/>
        <v>0.25891353327943589</v>
      </c>
    </row>
    <row r="115" spans="1:38">
      <c r="A115">
        <v>860</v>
      </c>
      <c r="V115">
        <v>0.12482129781151756</v>
      </c>
      <c r="W115">
        <f t="shared" si="44"/>
        <v>0.1025341266297705</v>
      </c>
      <c r="Y115">
        <f t="shared" si="45"/>
        <v>2.2287171181747056E-2</v>
      </c>
      <c r="AB115">
        <v>0.21018385183840801</v>
      </c>
      <c r="AC115">
        <f t="shared" si="46"/>
        <v>0.11887077547411493</v>
      </c>
      <c r="AE115">
        <f t="shared" si="47"/>
        <v>9.1313076364293089E-2</v>
      </c>
      <c r="AI115">
        <v>0.25891353327943589</v>
      </c>
      <c r="AJ115">
        <f t="shared" si="48"/>
        <v>0</v>
      </c>
      <c r="AL115">
        <f t="shared" si="49"/>
        <v>0.25891353327943589</v>
      </c>
    </row>
    <row r="116" spans="1:38">
      <c r="A116">
        <v>956</v>
      </c>
      <c r="V116">
        <v>0.21652115475638242</v>
      </c>
      <c r="W116">
        <f t="shared" si="44"/>
        <v>0.10316010529673982</v>
      </c>
      <c r="Y116">
        <f t="shared" si="45"/>
        <v>0.11336104945964261</v>
      </c>
      <c r="AB116">
        <v>0.24203575752925841</v>
      </c>
      <c r="AC116">
        <f t="shared" si="46"/>
        <v>0.12020861489707498</v>
      </c>
      <c r="AE116">
        <f t="shared" si="47"/>
        <v>0.12182714263218343</v>
      </c>
      <c r="AI116">
        <v>0.25891353327943589</v>
      </c>
      <c r="AJ116">
        <f t="shared" si="48"/>
        <v>0</v>
      </c>
      <c r="AL116">
        <f t="shared" si="49"/>
        <v>0.25891353327943589</v>
      </c>
    </row>
    <row r="117" spans="1:38">
      <c r="A117">
        <v>980</v>
      </c>
      <c r="V117">
        <v>0.26415033418446149</v>
      </c>
      <c r="W117">
        <f t="shared" si="44"/>
        <v>0.10330732245270657</v>
      </c>
      <c r="Y117">
        <f t="shared" si="45"/>
        <v>0.16084301173175491</v>
      </c>
      <c r="AB117">
        <v>0.29849275900650729</v>
      </c>
      <c r="AC117">
        <f t="shared" si="46"/>
        <v>0.12052423896182139</v>
      </c>
      <c r="AE117">
        <f t="shared" si="47"/>
        <v>0.17796852004468589</v>
      </c>
      <c r="AI117">
        <v>0.25891353327943589</v>
      </c>
      <c r="AJ117">
        <f t="shared" si="48"/>
        <v>0</v>
      </c>
      <c r="AL117">
        <f t="shared" si="49"/>
        <v>0.25891353327943589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3" workbookViewId="0">
      <selection activeCell="E16" sqref="E16:E42"/>
    </sheetView>
  </sheetViews>
  <sheetFormatPr defaultRowHeight="15"/>
  <sheetData>
    <row r="1" spans="1:5">
      <c r="A1" t="s">
        <v>50</v>
      </c>
      <c r="C1" t="s">
        <v>51</v>
      </c>
    </row>
    <row r="3" spans="1:5">
      <c r="A3" t="s">
        <v>52</v>
      </c>
      <c r="C3" t="s">
        <v>53</v>
      </c>
    </row>
    <row r="5" spans="1:5">
      <c r="A5" t="s">
        <v>54</v>
      </c>
      <c r="C5" t="s">
        <v>55</v>
      </c>
    </row>
    <row r="6" spans="1:5">
      <c r="C6" t="s">
        <v>32</v>
      </c>
    </row>
    <row r="8" spans="1:5">
      <c r="A8" t="s">
        <v>56</v>
      </c>
      <c r="C8" t="s">
        <v>57</v>
      </c>
    </row>
    <row r="11" spans="1:5">
      <c r="A11" t="s">
        <v>58</v>
      </c>
    </row>
    <row r="16" spans="1:5">
      <c r="D16">
        <v>5.8615830000000001E-3</v>
      </c>
      <c r="E16">
        <v>0.5</v>
      </c>
    </row>
    <row r="17" spans="4:5">
      <c r="D17">
        <v>1.5679957000000001E-2</v>
      </c>
      <c r="E17">
        <v>1</v>
      </c>
    </row>
    <row r="18" spans="4:5">
      <c r="D18">
        <v>2.9937307999999999E-2</v>
      </c>
      <c r="E18">
        <v>2</v>
      </c>
    </row>
    <row r="19" spans="4:5">
      <c r="D19">
        <v>4.2506950000000002E-2</v>
      </c>
      <c r="E19">
        <v>3</v>
      </c>
    </row>
    <row r="20" spans="4:5">
      <c r="D20">
        <v>4.8408288000000001E-2</v>
      </c>
      <c r="E20">
        <v>4</v>
      </c>
    </row>
    <row r="21" spans="4:5">
      <c r="D21">
        <v>6.9383008999999995E-2</v>
      </c>
      <c r="E21">
        <v>26</v>
      </c>
    </row>
    <row r="22" spans="4:5">
      <c r="D22">
        <v>7.0263823000000003E-2</v>
      </c>
      <c r="E22">
        <v>29</v>
      </c>
    </row>
    <row r="23" spans="4:5">
      <c r="D23">
        <v>8.2143859999999999E-2</v>
      </c>
      <c r="E23">
        <v>47.5</v>
      </c>
    </row>
    <row r="24" spans="4:5">
      <c r="D24">
        <v>8.2931885999999996E-2</v>
      </c>
      <c r="E24">
        <v>67</v>
      </c>
    </row>
    <row r="25" spans="4:5">
      <c r="D25">
        <v>9.1918674000000006E-2</v>
      </c>
      <c r="E25">
        <v>73.5</v>
      </c>
    </row>
    <row r="26" spans="4:5">
      <c r="D26">
        <v>0.10377544900000001</v>
      </c>
      <c r="E26">
        <v>113</v>
      </c>
    </row>
    <row r="27" spans="4:5">
      <c r="D27">
        <v>0.119255765</v>
      </c>
      <c r="E27">
        <v>166</v>
      </c>
    </row>
    <row r="28" spans="4:5">
      <c r="D28">
        <v>0.119912723</v>
      </c>
      <c r="E28">
        <v>188</v>
      </c>
    </row>
    <row r="29" spans="4:5">
      <c r="D29">
        <v>0.14133552099999999</v>
      </c>
      <c r="E29">
        <v>237</v>
      </c>
    </row>
    <row r="30" spans="4:5">
      <c r="D30">
        <v>0.16694567799999999</v>
      </c>
      <c r="E30">
        <v>276</v>
      </c>
    </row>
    <row r="31" spans="4:5">
      <c r="D31">
        <v>0.17625413600000001</v>
      </c>
      <c r="E31">
        <v>305</v>
      </c>
    </row>
    <row r="32" spans="4:5">
      <c r="D32">
        <v>0.180278469</v>
      </c>
      <c r="E32">
        <v>376</v>
      </c>
    </row>
    <row r="33" spans="4:5">
      <c r="D33">
        <v>0.22221318900000001</v>
      </c>
      <c r="E33">
        <v>408.5</v>
      </c>
    </row>
    <row r="34" spans="4:5">
      <c r="D34">
        <v>0.23657539399999999</v>
      </c>
      <c r="E34">
        <v>452</v>
      </c>
    </row>
    <row r="35" spans="4:5">
      <c r="D35">
        <v>0.28546703400000001</v>
      </c>
      <c r="E35">
        <v>500</v>
      </c>
    </row>
    <row r="36" spans="4:5">
      <c r="D36">
        <v>0.33376632499999997</v>
      </c>
      <c r="E36">
        <v>548</v>
      </c>
    </row>
    <row r="37" spans="4:5">
      <c r="D37">
        <v>0.40083285200000002</v>
      </c>
      <c r="E37">
        <v>620</v>
      </c>
    </row>
    <row r="38" spans="4:5">
      <c r="D38">
        <v>0.47701245199999998</v>
      </c>
      <c r="E38">
        <v>716</v>
      </c>
    </row>
    <row r="39" spans="4:5">
      <c r="D39">
        <v>0.56483925499999998</v>
      </c>
      <c r="E39">
        <v>788</v>
      </c>
    </row>
    <row r="40" spans="4:5">
      <c r="D40">
        <v>0.70319497600000003</v>
      </c>
      <c r="E40">
        <v>860</v>
      </c>
    </row>
    <row r="41" spans="4:5">
      <c r="D41">
        <v>0.83506554399999999</v>
      </c>
      <c r="E41">
        <v>956</v>
      </c>
    </row>
    <row r="42" spans="4:5">
      <c r="D42">
        <v>0.99999718100000001</v>
      </c>
      <c r="E42">
        <v>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PCL-PNa</vt:lpstr>
      <vt:lpstr>PEG-PNa</vt:lpstr>
      <vt:lpstr>PCL-MB</vt:lpstr>
      <vt:lpstr>PEG-MB (2)</vt:lpstr>
      <vt:lpstr>Sheet2</vt:lpstr>
    </vt:vector>
  </TitlesOfParts>
  <Company>University at Buffalo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quake0day</cp:lastModifiedBy>
  <dcterms:created xsi:type="dcterms:W3CDTF">2011-10-01T19:01:36Z</dcterms:created>
  <dcterms:modified xsi:type="dcterms:W3CDTF">2012-03-07T18:34:19Z</dcterms:modified>
</cp:coreProperties>
</file>