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All_else_being_equal\Chapters\Ch_8_Bin_logit\May.2014\"/>
    </mc:Choice>
  </mc:AlternateContent>
  <bookViews>
    <workbookView xWindow="480" yWindow="45" windowWidth="21075" windowHeight="14625" activeTab="2"/>
  </bookViews>
  <sheets>
    <sheet name="OLS" sheetId="1" r:id="rId1"/>
    <sheet name="Logit" sheetId="2" r:id="rId2"/>
    <sheet name="Probit" sheetId="3" r:id="rId3"/>
    <sheet name="mortgage" sheetId="5" r:id="rId4"/>
    <sheet name="grouped" sheetId="6" r:id="rId5"/>
    <sheet name="Sheet1" sheetId="4" r:id="rId6"/>
  </sheets>
  <calcPr calcId="152511"/>
</workbook>
</file>

<file path=xl/calcChain.xml><?xml version="1.0" encoding="utf-8"?>
<calcChain xmlns="http://schemas.openxmlformats.org/spreadsheetml/2006/main">
  <c r="B30" i="3" l="1"/>
  <c r="B26" i="3"/>
  <c r="C26" i="3" s="1"/>
  <c r="I25" i="4" l="1"/>
  <c r="H25" i="4"/>
  <c r="G25" i="4"/>
  <c r="D25" i="4"/>
  <c r="E25" i="4" s="1"/>
  <c r="F25" i="4" s="1"/>
  <c r="I24" i="4"/>
  <c r="H24" i="4"/>
  <c r="G24" i="4"/>
  <c r="D24" i="4"/>
  <c r="E24" i="4" s="1"/>
  <c r="I23" i="4"/>
  <c r="H23" i="4"/>
  <c r="G23" i="4"/>
  <c r="D23" i="4"/>
  <c r="E23" i="4" s="1"/>
  <c r="F23" i="4" s="1"/>
  <c r="I22" i="4"/>
  <c r="H22" i="4"/>
  <c r="G22" i="4"/>
  <c r="D22" i="4"/>
  <c r="I21" i="4"/>
  <c r="H21" i="4"/>
  <c r="G21" i="4"/>
  <c r="D21" i="4"/>
  <c r="E21" i="4" s="1"/>
  <c r="F21" i="4" s="1"/>
  <c r="I20" i="4"/>
  <c r="H20" i="4"/>
  <c r="G20" i="4"/>
  <c r="D20" i="4"/>
  <c r="I19" i="4"/>
  <c r="H19" i="4"/>
  <c r="G19" i="4"/>
  <c r="D19" i="4"/>
  <c r="E19" i="4" s="1"/>
  <c r="F19" i="4" s="1"/>
  <c r="I18" i="4"/>
  <c r="H18" i="4"/>
  <c r="G18" i="4"/>
  <c r="E18" i="4"/>
  <c r="D18" i="4"/>
  <c r="I17" i="4"/>
  <c r="H17" i="4"/>
  <c r="G17" i="4"/>
  <c r="D17" i="4"/>
  <c r="E17" i="4" s="1"/>
  <c r="F17" i="4" s="1"/>
  <c r="I16" i="4"/>
  <c r="H16" i="4"/>
  <c r="G16" i="4"/>
  <c r="D16" i="4"/>
  <c r="I15" i="4"/>
  <c r="H15" i="4"/>
  <c r="G15" i="4"/>
  <c r="D15" i="4"/>
  <c r="E15" i="4" l="1"/>
  <c r="F15" i="4" s="1"/>
  <c r="E16" i="4"/>
  <c r="F16" i="4" s="1"/>
  <c r="F18" i="4"/>
  <c r="E20" i="4"/>
  <c r="F20" i="4" s="1"/>
  <c r="E22" i="4"/>
  <c r="F22" i="4" s="1"/>
  <c r="F24" i="4"/>
  <c r="J4" i="3"/>
  <c r="H4" i="3"/>
  <c r="E18" i="3"/>
  <c r="E17" i="3"/>
  <c r="E16" i="3"/>
  <c r="E15" i="3"/>
  <c r="E14" i="3"/>
  <c r="E5" i="3"/>
  <c r="E6" i="3"/>
  <c r="E7" i="3"/>
  <c r="E8" i="3"/>
  <c r="E4" i="3"/>
  <c r="E9" i="3" l="1"/>
  <c r="E10" i="3" s="1"/>
  <c r="G4" i="3" s="1"/>
  <c r="E19" i="3"/>
  <c r="E20" i="3" s="1"/>
  <c r="H13" i="2"/>
  <c r="E4" i="2"/>
  <c r="E5" i="2"/>
  <c r="E6" i="2"/>
  <c r="E7" i="2"/>
  <c r="E3" i="2"/>
  <c r="E8" i="2" l="1"/>
  <c r="E9" i="2" s="1"/>
  <c r="B12" i="2" s="1"/>
  <c r="H34" i="1"/>
  <c r="E28" i="1"/>
  <c r="H37" i="1"/>
  <c r="O16" i="1"/>
  <c r="O7" i="1"/>
  <c r="O8" i="1"/>
  <c r="O9" i="1"/>
  <c r="O10" i="1"/>
  <c r="O11" i="1"/>
  <c r="O12" i="1"/>
  <c r="O13" i="1"/>
  <c r="O14" i="1"/>
  <c r="O15" i="1"/>
  <c r="O6" i="1"/>
  <c r="F37" i="1"/>
  <c r="G37" i="1" s="1"/>
  <c r="I53" i="1"/>
  <c r="I57" i="1"/>
  <c r="I61" i="1"/>
  <c r="I65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50" i="1"/>
  <c r="C46" i="1"/>
  <c r="C47" i="1"/>
  <c r="C48" i="1"/>
  <c r="C49" i="1"/>
  <c r="C50" i="1"/>
  <c r="C51" i="1"/>
  <c r="I51" i="1" s="1"/>
  <c r="C52" i="1"/>
  <c r="I52" i="1" s="1"/>
  <c r="C53" i="1"/>
  <c r="C54" i="1"/>
  <c r="I54" i="1" s="1"/>
  <c r="C55" i="1"/>
  <c r="I55" i="1" s="1"/>
  <c r="C56" i="1"/>
  <c r="I56" i="1" s="1"/>
  <c r="C57" i="1"/>
  <c r="C58" i="1"/>
  <c r="I58" i="1" s="1"/>
  <c r="C59" i="1"/>
  <c r="I59" i="1" s="1"/>
  <c r="C60" i="1"/>
  <c r="I60" i="1" s="1"/>
  <c r="C61" i="1"/>
  <c r="C62" i="1"/>
  <c r="I62" i="1" s="1"/>
  <c r="C63" i="1"/>
  <c r="I63" i="1" s="1"/>
  <c r="C64" i="1"/>
  <c r="I64" i="1" s="1"/>
  <c r="C65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50" i="1"/>
  <c r="F45" i="1"/>
  <c r="E45" i="1"/>
  <c r="D45" i="1"/>
  <c r="E35" i="1"/>
  <c r="E36" i="1"/>
  <c r="E37" i="1"/>
  <c r="E38" i="1"/>
  <c r="E34" i="1"/>
  <c r="E25" i="1"/>
  <c r="E26" i="1"/>
  <c r="E27" i="1"/>
  <c r="E29" i="1"/>
  <c r="P9" i="1"/>
  <c r="P13" i="1"/>
  <c r="P18" i="1"/>
  <c r="P19" i="1"/>
  <c r="P21" i="1"/>
  <c r="P22" i="1"/>
  <c r="P23" i="1"/>
  <c r="K7" i="1"/>
  <c r="P7" i="1" s="1"/>
  <c r="K8" i="1"/>
  <c r="P8" i="1" s="1"/>
  <c r="K9" i="1"/>
  <c r="K10" i="1"/>
  <c r="P10" i="1" s="1"/>
  <c r="K11" i="1"/>
  <c r="P11" i="1" s="1"/>
  <c r="K12" i="1"/>
  <c r="P12" i="1" s="1"/>
  <c r="K13" i="1"/>
  <c r="K14" i="1"/>
  <c r="P14" i="1" s="1"/>
  <c r="K15" i="1"/>
  <c r="P15" i="1" s="1"/>
  <c r="K16" i="1"/>
  <c r="P16" i="1" s="1"/>
  <c r="K17" i="1"/>
  <c r="P17" i="1" s="1"/>
  <c r="K18" i="1"/>
  <c r="K19" i="1"/>
  <c r="K20" i="1"/>
  <c r="P20" i="1" s="1"/>
  <c r="K21" i="1"/>
  <c r="K22" i="1"/>
  <c r="K23" i="1"/>
  <c r="K24" i="1"/>
  <c r="P24" i="1" s="1"/>
  <c r="K25" i="1"/>
  <c r="K6" i="1"/>
  <c r="P6" i="1" s="1"/>
  <c r="M5" i="1"/>
  <c r="N5" i="1"/>
  <c r="L5" i="1"/>
  <c r="E39" i="1" l="1"/>
  <c r="E30" i="1"/>
  <c r="C45" i="1" l="1"/>
  <c r="H38" i="1"/>
  <c r="K5" i="1"/>
  <c r="Q8" i="1"/>
  <c r="Q10" i="1"/>
  <c r="Q12" i="1"/>
  <c r="Q14" i="1"/>
  <c r="Q16" i="1"/>
  <c r="Q18" i="1"/>
  <c r="Q20" i="1"/>
  <c r="Q22" i="1"/>
  <c r="Q24" i="1"/>
  <c r="Q6" i="1"/>
  <c r="Q7" i="1"/>
  <c r="Q11" i="1"/>
  <c r="Q13" i="1"/>
  <c r="Q17" i="1"/>
  <c r="Q19" i="1"/>
  <c r="Q23" i="1"/>
  <c r="Q9" i="1"/>
  <c r="Q15" i="1"/>
  <c r="Q21" i="1"/>
</calcChain>
</file>

<file path=xl/sharedStrings.xml><?xml version="1.0" encoding="utf-8"?>
<sst xmlns="http://schemas.openxmlformats.org/spreadsheetml/2006/main" count="175" uniqueCount="113">
  <si>
    <t>Variable</t>
  </si>
  <si>
    <t>Obs</t>
  </si>
  <si>
    <t>Mean</t>
  </si>
  <si>
    <t>Std. Dev.</t>
  </si>
  <si>
    <t>Min</t>
  </si>
  <si>
    <t>Max</t>
  </si>
  <si>
    <t>educ</t>
  </si>
  <si>
    <t>age</t>
  </si>
  <si>
    <t>income</t>
  </si>
  <si>
    <t>pcigs79</t>
  </si>
  <si>
    <t>ageeduc</t>
  </si>
  <si>
    <t>smoker</t>
  </si>
  <si>
    <t>educincome</t>
  </si>
  <si>
    <t>qrt_age</t>
  </si>
  <si>
    <t>inc_10k</t>
  </si>
  <si>
    <t>fcast_reg</t>
  </si>
  <si>
    <t>fcast_logit</t>
  </si>
  <si>
    <t>fcast_prob</t>
  </si>
  <si>
    <t>qrt_edu</t>
  </si>
  <si>
    <t>qrt_inc</t>
  </si>
  <si>
    <t>qrt_price</t>
  </si>
  <si>
    <t>log_price</t>
  </si>
  <si>
    <t>_cons</t>
  </si>
  <si>
    <t>OLS Coef</t>
  </si>
  <si>
    <t>Beta*Mean</t>
  </si>
  <si>
    <t>Forecast</t>
  </si>
  <si>
    <t>Low</t>
  </si>
  <si>
    <t>Medium</t>
  </si>
  <si>
    <t>High</t>
  </si>
  <si>
    <t>Price</t>
  </si>
  <si>
    <t>% Change</t>
  </si>
  <si>
    <t>Age</t>
  </si>
  <si>
    <t>Smoking (%)</t>
  </si>
  <si>
    <t>Smoking %</t>
  </si>
  <si>
    <t>Coef.</t>
  </si>
  <si>
    <t>Coef*mean</t>
  </si>
  <si>
    <t>Z</t>
  </si>
  <si>
    <t>Probability</t>
  </si>
  <si>
    <t>Education</t>
  </si>
  <si>
    <t>Smoker</t>
  </si>
  <si>
    <t>Constant</t>
  </si>
  <si>
    <t>constant</t>
  </si>
  <si>
    <t>mid age</t>
  </si>
  <si>
    <t>older</t>
  </si>
  <si>
    <t>younger</t>
  </si>
  <si>
    <t>(Intercept)</t>
  </si>
  <si>
    <t>inc.10k</t>
  </si>
  <si>
    <t>Variables</t>
  </si>
  <si>
    <t>Logit</t>
  </si>
  <si>
    <t>Probit</t>
  </si>
  <si>
    <t>OLS</t>
  </si>
  <si>
    <t>Cumulative</t>
  </si>
  <si>
    <t>norm.s.dist</t>
  </si>
  <si>
    <t>1-normdist</t>
  </si>
  <si>
    <t>Pr&gt;{Z}</t>
  </si>
  <si>
    <t>tdist, 2tailed</t>
  </si>
  <si>
    <t>tdist left</t>
  </si>
  <si>
    <t>tdist right</t>
  </si>
  <si>
    <t>ols</t>
  </si>
  <si>
    <t>margin</t>
  </si>
  <si>
    <t>networth</t>
  </si>
  <si>
    <t>yield</t>
  </si>
  <si>
    <t>legend:</t>
  </si>
  <si>
    <t>* p&lt;0.05; ** p&lt;0.01; *** p&lt;0.001</t>
  </si>
  <si>
    <t xml:space="preserve">  </t>
  </si>
  <si>
    <t>probit</t>
  </si>
  <si>
    <t xml:space="preserve">Constant </t>
  </si>
  <si>
    <t>id</t>
  </si>
  <si>
    <t>area</t>
  </si>
  <si>
    <t>tract</t>
  </si>
  <si>
    <t>name</t>
  </si>
  <si>
    <t>population</t>
  </si>
  <si>
    <t>hh_autos</t>
  </si>
  <si>
    <t>d_cbd</t>
  </si>
  <si>
    <t>hh_size</t>
  </si>
  <si>
    <t>n_trips</t>
  </si>
  <si>
    <t>n_transit</t>
  </si>
  <si>
    <t>n_auto</t>
  </si>
  <si>
    <t>n_walk</t>
  </si>
  <si>
    <t>m_commtime</t>
  </si>
  <si>
    <t>unique id</t>
  </si>
  <si>
    <t>CT area in square kilometer</t>
  </si>
  <si>
    <t>Tract number</t>
  </si>
  <si>
    <t>Tract name</t>
  </si>
  <si>
    <t>resident population</t>
  </si>
  <si>
    <t>Average number of cars per household in the CT</t>
  </si>
  <si>
    <t>distance from the central business district</t>
  </si>
  <si>
    <t>avereg number of persons per household</t>
  </si>
  <si>
    <t>total commute trip s recorded in thee CT</t>
  </si>
  <si>
    <t>Total number of public transit trips reported in the CT</t>
  </si>
  <si>
    <t>Total number of auto-based commutetrips</t>
  </si>
  <si>
    <t>Total commutewalk trips</t>
  </si>
  <si>
    <t>median commute time reported for the CT</t>
  </si>
  <si>
    <t>Variable name</t>
  </si>
  <si>
    <t>Description</t>
  </si>
  <si>
    <t>logit</t>
  </si>
  <si>
    <t xml:space="preserve">   </t>
  </si>
  <si>
    <t>-0.16***</t>
  </si>
  <si>
    <t>0.03**</t>
  </si>
  <si>
    <t>-0.74*</t>
  </si>
  <si>
    <t>1.85**</t>
  </si>
  <si>
    <t>-0.81**</t>
  </si>
  <si>
    <t>-0.50**</t>
  </si>
  <si>
    <t>0.17**</t>
  </si>
  <si>
    <t>0.10**</t>
  </si>
  <si>
    <t>-3.52*</t>
  </si>
  <si>
    <t>-2.17*</t>
  </si>
  <si>
    <t>6.51*</t>
  </si>
  <si>
    <t xml:space="preserve">4.02*  </t>
  </si>
  <si>
    <t>age in years</t>
  </si>
  <si>
    <t>education in years</t>
  </si>
  <si>
    <t>hhld income/ 10,000</t>
  </si>
  <si>
    <t>price of a pack in 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</si>
</sst>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0.0%"/>
    <numFmt numFmtId="165" formatCode="_-* #,##0.00000_-;\-* #,##0.00000_-;_-* &quot;-&quot;??_-;_-@_-"/>
    <numFmt numFmtId="166" formatCode="_-* #,##0.00000000_-;\-* #,##0.00000000_-;_-* &quot;-&quot;??_-;_-@_-"/>
    <numFmt numFmtId="167" formatCode="0.000%"/>
    <numFmt numFmtId="168" formatCode="_-* #,##0.000_-;\-* #,##0.000_-;_-* &quot;-&quot;??_-;_-@_-"/>
    <numFmt numFmtId="169" formatCode="_-* #,##0.0000_-;\-* #,##0.0000_-;_-* &quot;-&quot;??_-;_-@_-"/>
    <numFmt numFmtId="170" formatCode="_-* #,##0_-;\-* #,##0_-;_-* &quot;-&quot;??_-;_-@_-"/>
    <numFmt numFmtId="171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5" borderId="9" applyNumberFormat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</cellStyleXfs>
  <cellXfs count="73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5" xfId="0" applyFont="1" applyBorder="1"/>
    <xf numFmtId="9" fontId="0" fillId="0" borderId="0" xfId="2" applyFont="1"/>
    <xf numFmtId="164" fontId="0" fillId="0" borderId="0" xfId="2" applyNumberFormat="1" applyFont="1"/>
    <xf numFmtId="10" fontId="0" fillId="0" borderId="0" xfId="2" applyNumberFormat="1" applyFon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9" fontId="2" fillId="2" borderId="0" xfId="3" applyNumberFormat="1"/>
    <xf numFmtId="0" fontId="2" fillId="2" borderId="0" xfId="3"/>
    <xf numFmtId="164" fontId="2" fillId="2" borderId="0" xfId="3" applyNumberFormat="1"/>
    <xf numFmtId="2" fontId="2" fillId="2" borderId="0" xfId="3" applyNumberFormat="1"/>
    <xf numFmtId="10" fontId="2" fillId="2" borderId="0" xfId="3" applyNumberFormat="1"/>
    <xf numFmtId="0" fontId="4" fillId="4" borderId="8" xfId="0" applyFont="1" applyFill="1" applyBorder="1"/>
    <xf numFmtId="0" fontId="3" fillId="3" borderId="7" xfId="0" applyFont="1" applyFill="1" applyBorder="1"/>
    <xf numFmtId="0" fontId="0" fillId="0" borderId="7" xfId="0" applyBorder="1"/>
    <xf numFmtId="43" fontId="0" fillId="0" borderId="7" xfId="1" applyFont="1" applyBorder="1"/>
    <xf numFmtId="9" fontId="0" fillId="0" borderId="8" xfId="0" applyNumberFormat="1" applyBorder="1"/>
    <xf numFmtId="10" fontId="0" fillId="0" borderId="7" xfId="0" applyNumberFormat="1" applyBorder="1"/>
    <xf numFmtId="10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0" fontId="5" fillId="5" borderId="9" xfId="4" applyNumberFormat="1"/>
    <xf numFmtId="0" fontId="0" fillId="0" borderId="0" xfId="0" applyAlignment="1">
      <alignment horizontal="center"/>
    </xf>
    <xf numFmtId="10" fontId="4" fillId="6" borderId="0" xfId="2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/>
    <xf numFmtId="0" fontId="0" fillId="4" borderId="0" xfId="0" applyFill="1"/>
    <xf numFmtId="0" fontId="0" fillId="4" borderId="10" xfId="0" applyFill="1" applyBorder="1"/>
    <xf numFmtId="0" fontId="0" fillId="4" borderId="7" xfId="0" applyFill="1" applyBorder="1"/>
    <xf numFmtId="168" fontId="0" fillId="0" borderId="2" xfId="1" applyNumberFormat="1" applyFont="1" applyBorder="1"/>
    <xf numFmtId="169" fontId="0" fillId="0" borderId="3" xfId="1" applyNumberFormat="1" applyFont="1" applyBorder="1"/>
    <xf numFmtId="170" fontId="0" fillId="0" borderId="2" xfId="1" applyNumberFormat="1" applyFont="1" applyBorder="1"/>
    <xf numFmtId="167" fontId="0" fillId="0" borderId="6" xfId="2" applyNumberFormat="1" applyFont="1" applyBorder="1"/>
    <xf numFmtId="171" fontId="0" fillId="0" borderId="2" xfId="0" applyNumberFormat="1" applyFont="1" applyBorder="1"/>
    <xf numFmtId="171" fontId="0" fillId="0" borderId="3" xfId="0" applyNumberFormat="1" applyFont="1" applyBorder="1"/>
    <xf numFmtId="10" fontId="4" fillId="0" borderId="6" xfId="2" applyNumberFormat="1" applyFont="1" applyBorder="1"/>
    <xf numFmtId="171" fontId="0" fillId="0" borderId="5" xfId="0" applyNumberFormat="1" applyFont="1" applyBorder="1"/>
    <xf numFmtId="171" fontId="0" fillId="0" borderId="6" xfId="0" applyNumberFormat="1" applyFont="1" applyBorder="1"/>
    <xf numFmtId="1" fontId="0" fillId="0" borderId="2" xfId="0" applyNumberFormat="1" applyFont="1" applyBorder="1"/>
    <xf numFmtId="1" fontId="0" fillId="0" borderId="3" xfId="0" applyNumberFormat="1" applyFont="1" applyBorder="1"/>
    <xf numFmtId="0" fontId="3" fillId="3" borderId="0" xfId="0" applyFont="1" applyFill="1" applyBorder="1"/>
    <xf numFmtId="167" fontId="0" fillId="0" borderId="0" xfId="0" applyNumberFormat="1"/>
    <xf numFmtId="171" fontId="0" fillId="0" borderId="0" xfId="0" applyNumberFormat="1"/>
    <xf numFmtId="168" fontId="0" fillId="0" borderId="0" xfId="1" applyNumberFormat="1" applyFont="1"/>
    <xf numFmtId="0" fontId="0" fillId="0" borderId="0" xfId="0" quotePrefix="1"/>
    <xf numFmtId="43" fontId="0" fillId="0" borderId="0" xfId="0" applyNumberFormat="1"/>
    <xf numFmtId="0" fontId="6" fillId="7" borderId="0" xfId="5"/>
    <xf numFmtId="168" fontId="6" fillId="7" borderId="0" xfId="5" applyNumberFormat="1"/>
    <xf numFmtId="43" fontId="6" fillId="7" borderId="0" xfId="5" applyNumberFormat="1"/>
    <xf numFmtId="171" fontId="6" fillId="7" borderId="0" xfId="5" applyNumberFormat="1"/>
    <xf numFmtId="43" fontId="8" fillId="9" borderId="0" xfId="7" applyNumberFormat="1"/>
    <xf numFmtId="43" fontId="8" fillId="9" borderId="2" xfId="7" applyNumberFormat="1" applyBorder="1"/>
    <xf numFmtId="0" fontId="7" fillId="8" borderId="0" xfId="6"/>
    <xf numFmtId="43" fontId="5" fillId="5" borderId="9" xfId="4" applyNumberFormat="1"/>
    <xf numFmtId="164" fontId="8" fillId="0" borderId="0" xfId="2" applyNumberFormat="1" applyFont="1"/>
    <xf numFmtId="0" fontId="9" fillId="0" borderId="0" xfId="0" applyFont="1"/>
    <xf numFmtId="43" fontId="0" fillId="0" borderId="0" xfId="1" applyFont="1"/>
    <xf numFmtId="170" fontId="0" fillId="0" borderId="0" xfId="1" applyNumberFormat="1" applyFont="1"/>
    <xf numFmtId="43" fontId="0" fillId="0" borderId="2" xfId="1" applyNumberFormat="1" applyFont="1" applyBorder="1" applyAlignment="1">
      <alignment horizontal="center"/>
    </xf>
    <xf numFmtId="43" fontId="0" fillId="0" borderId="3" xfId="1" applyNumberFormat="1" applyFont="1" applyBorder="1" applyAlignment="1">
      <alignment horizontal="center"/>
    </xf>
    <xf numFmtId="43" fontId="0" fillId="0" borderId="5" xfId="1" applyNumberFormat="1" applyFont="1" applyBorder="1" applyAlignment="1">
      <alignment horizontal="center"/>
    </xf>
    <xf numFmtId="43" fontId="0" fillId="0" borderId="6" xfId="1" applyNumberFormat="1" applyFont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textRotation="90"/>
    </xf>
    <xf numFmtId="0" fontId="0" fillId="4" borderId="0" xfId="0" applyFill="1" applyAlignment="1">
      <alignment horizontal="center"/>
    </xf>
  </cellXfs>
  <cellStyles count="8">
    <cellStyle name="Accent3" xfId="7" builtinId="37"/>
    <cellStyle name="Bad" xfId="5" builtinId="27"/>
    <cellStyle name="Comma" xfId="1" builtinId="3"/>
    <cellStyle name="Good" xfId="3" builtinId="26"/>
    <cellStyle name="Input" xfId="4" builtinId="20"/>
    <cellStyle name="Neutral" xfId="6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OLS!$Q$5</c:f>
              <c:strCache>
                <c:ptCount val="1"/>
                <c:pt idx="0">
                  <c:v>Smoking (%)</c:v>
                </c:pt>
              </c:strCache>
            </c:strRef>
          </c:tx>
          <c:marker>
            <c:symbol val="none"/>
          </c:marker>
          <c:xVal>
            <c:numRef>
              <c:f>OLS!$P$6:$P$24</c:f>
              <c:numCache>
                <c:formatCode>0.00</c:formatCode>
                <c:ptCount val="19"/>
                <c:pt idx="0">
                  <c:v>91.457895000000008</c:v>
                </c:pt>
                <c:pt idx="1">
                  <c:v>88.409298500000006</c:v>
                </c:pt>
                <c:pt idx="2">
                  <c:v>85.360702000000003</c:v>
                </c:pt>
                <c:pt idx="3">
                  <c:v>82.312105500000001</c:v>
                </c:pt>
                <c:pt idx="4">
                  <c:v>79.263508999999999</c:v>
                </c:pt>
                <c:pt idx="5">
                  <c:v>76.214912499999997</c:v>
                </c:pt>
                <c:pt idx="6">
                  <c:v>73.166315999999995</c:v>
                </c:pt>
                <c:pt idx="7">
                  <c:v>70.117719499999993</c:v>
                </c:pt>
                <c:pt idx="8">
                  <c:v>67.069123000000005</c:v>
                </c:pt>
                <c:pt idx="9">
                  <c:v>61.581649300000002</c:v>
                </c:pt>
                <c:pt idx="10">
                  <c:v>60.97193</c:v>
                </c:pt>
                <c:pt idx="11">
                  <c:v>60.362210699999999</c:v>
                </c:pt>
                <c:pt idx="12">
                  <c:v>54.874736999999996</c:v>
                </c:pt>
                <c:pt idx="13">
                  <c:v>51.826140500000001</c:v>
                </c:pt>
                <c:pt idx="14">
                  <c:v>48.777543999999999</c:v>
                </c:pt>
                <c:pt idx="15">
                  <c:v>45.728947500000004</c:v>
                </c:pt>
                <c:pt idx="16">
                  <c:v>42.680351000000002</c:v>
                </c:pt>
                <c:pt idx="17">
                  <c:v>39.6317545</c:v>
                </c:pt>
                <c:pt idx="18">
                  <c:v>36.583157999999997</c:v>
                </c:pt>
              </c:numCache>
            </c:numRef>
          </c:xVal>
          <c:yVal>
            <c:numRef>
              <c:f>OLS!$Q$6:$Q$24</c:f>
              <c:numCache>
                <c:formatCode>0.0%</c:formatCode>
                <c:ptCount val="19"/>
                <c:pt idx="0">
                  <c:v>0.18828084190847005</c:v>
                </c:pt>
                <c:pt idx="1">
                  <c:v>0.2075098338462551</c:v>
                </c:pt>
                <c:pt idx="2">
                  <c:v>0.22673882578403992</c:v>
                </c:pt>
                <c:pt idx="3">
                  <c:v>0.24596781772182497</c:v>
                </c:pt>
                <c:pt idx="4">
                  <c:v>0.26519680965961001</c:v>
                </c:pt>
                <c:pt idx="5">
                  <c:v>0.28442580159739506</c:v>
                </c:pt>
                <c:pt idx="6">
                  <c:v>0.3036547935351801</c:v>
                </c:pt>
                <c:pt idx="7">
                  <c:v>0.32288378547296515</c:v>
                </c:pt>
                <c:pt idx="8">
                  <c:v>0.34211277741074997</c:v>
                </c:pt>
                <c:pt idx="9">
                  <c:v>0.37672496289876301</c:v>
                </c:pt>
                <c:pt idx="10">
                  <c:v>0.38057076128632006</c:v>
                </c:pt>
                <c:pt idx="11">
                  <c:v>0.38441655967387711</c:v>
                </c:pt>
                <c:pt idx="12">
                  <c:v>0.41902874516189004</c:v>
                </c:pt>
                <c:pt idx="13">
                  <c:v>0.43825773709967497</c:v>
                </c:pt>
                <c:pt idx="14">
                  <c:v>0.45748672903746002</c:v>
                </c:pt>
                <c:pt idx="15">
                  <c:v>0.47671572097524506</c:v>
                </c:pt>
                <c:pt idx="16">
                  <c:v>0.49594471291302999</c:v>
                </c:pt>
                <c:pt idx="17">
                  <c:v>0.51517370485081504</c:v>
                </c:pt>
                <c:pt idx="18">
                  <c:v>0.53440269678859997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560352"/>
        <c:axId val="323563152"/>
      </c:scatterChart>
      <c:valAx>
        <c:axId val="323560352"/>
        <c:scaling>
          <c:orientation val="minMax"/>
          <c:min val="3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 of cigarettes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23563152"/>
        <c:crosses val="autoZero"/>
        <c:crossBetween val="midCat"/>
      </c:valAx>
      <c:valAx>
        <c:axId val="323563152"/>
        <c:scaling>
          <c:orientation val="minMax"/>
          <c:min val="0.1500000000000000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of smoking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323560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OLS!$J$50</c:f>
              <c:strCache>
                <c:ptCount val="1"/>
                <c:pt idx="0">
                  <c:v>Smoking %</c:v>
                </c:pt>
              </c:strCache>
            </c:strRef>
          </c:tx>
          <c:marker>
            <c:symbol val="none"/>
          </c:marker>
          <c:xVal>
            <c:numRef>
              <c:f>OLS!$I$53:$I$60</c:f>
              <c:numCache>
                <c:formatCode>General</c:formatCode>
                <c:ptCount val="8"/>
                <c:pt idx="0">
                  <c:v>91.627541693803337</c:v>
                </c:pt>
                <c:pt idx="1">
                  <c:v>74.617901879782849</c:v>
                </c:pt>
                <c:pt idx="2">
                  <c:v>63.313545170813207</c:v>
                </c:pt>
                <c:pt idx="3">
                  <c:v>60.765913589029999</c:v>
                </c:pt>
                <c:pt idx="4">
                  <c:v>58.32079445792364</c:v>
                </c:pt>
                <c:pt idx="5">
                  <c:v>49.485393736458228</c:v>
                </c:pt>
                <c:pt idx="6">
                  <c:v>40.298977644176816</c:v>
                </c:pt>
                <c:pt idx="7">
                  <c:v>32.817918107608783</c:v>
                </c:pt>
              </c:numCache>
            </c:numRef>
          </c:xVal>
          <c:yVal>
            <c:numRef>
              <c:f>OLS!$J$53:$J$60</c:f>
              <c:numCache>
                <c:formatCode>0%</c:formatCode>
                <c:ptCount val="8"/>
                <c:pt idx="0">
                  <c:v>0.23495857698100719</c:v>
                </c:pt>
                <c:pt idx="1">
                  <c:v>0.30776455156324833</c:v>
                </c:pt>
                <c:pt idx="2">
                  <c:v>0.36600933122904156</c:v>
                </c:pt>
                <c:pt idx="3">
                  <c:v>0.38057052614548992</c:v>
                </c:pt>
                <c:pt idx="4">
                  <c:v>0.3951317210619385</c:v>
                </c:pt>
                <c:pt idx="5">
                  <c:v>0.4533765007277315</c:v>
                </c:pt>
                <c:pt idx="6">
                  <c:v>0.52618247530997309</c:v>
                </c:pt>
                <c:pt idx="7">
                  <c:v>0.59898844989221445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955968"/>
        <c:axId val="323956528"/>
      </c:scatterChart>
      <c:valAx>
        <c:axId val="323955968"/>
        <c:scaling>
          <c:orientation val="minMax"/>
          <c:max val="95"/>
          <c:min val="30"/>
        </c:scaling>
        <c:delete val="0"/>
        <c:axPos val="b"/>
        <c:numFmt formatCode="General" sourceLinked="1"/>
        <c:majorTickMark val="out"/>
        <c:minorTickMark val="none"/>
        <c:tickLblPos val="nextTo"/>
        <c:crossAx val="323956528"/>
        <c:crosses val="autoZero"/>
        <c:crossBetween val="midCat"/>
      </c:valAx>
      <c:valAx>
        <c:axId val="323956528"/>
        <c:scaling>
          <c:orientation val="minMax"/>
          <c:min val="0.2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23955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Probit!$H$3</c:f>
              <c:strCache>
                <c:ptCount val="1"/>
                <c:pt idx="0">
                  <c:v>younger</c:v>
                </c:pt>
              </c:strCache>
            </c:strRef>
          </c:tx>
          <c:marker>
            <c:symbol val="none"/>
          </c:marker>
          <c:cat>
            <c:numRef>
              <c:f>Probit!$G$5:$G$11</c:f>
              <c:numCache>
                <c:formatCode>General</c:formatCode>
                <c:ptCount val="7"/>
                <c:pt idx="0">
                  <c:v>46</c:v>
                </c:pt>
                <c:pt idx="1">
                  <c:v>51</c:v>
                </c:pt>
                <c:pt idx="2">
                  <c:v>56</c:v>
                </c:pt>
                <c:pt idx="3">
                  <c:v>61</c:v>
                </c:pt>
                <c:pt idx="4">
                  <c:v>66</c:v>
                </c:pt>
                <c:pt idx="5">
                  <c:v>71</c:v>
                </c:pt>
                <c:pt idx="6">
                  <c:v>77</c:v>
                </c:pt>
              </c:numCache>
            </c:numRef>
          </c:cat>
          <c:val>
            <c:numRef>
              <c:f>Probit!$H$5:$H$11</c:f>
              <c:numCache>
                <c:formatCode>0%</c:formatCode>
                <c:ptCount val="7"/>
                <c:pt idx="0">
                  <c:v>0.56028848586871616</c:v>
                </c:pt>
                <c:pt idx="1">
                  <c:v>0.526846740230001</c:v>
                </c:pt>
                <c:pt idx="2">
                  <c:v>0.49321458651705369</c:v>
                </c:pt>
                <c:pt idx="3">
                  <c:v>0.45963062578754627</c:v>
                </c:pt>
                <c:pt idx="4">
                  <c:v>0.42633243466493886</c:v>
                </c:pt>
                <c:pt idx="5">
                  <c:v>0.39355153532945425</c:v>
                </c:pt>
                <c:pt idx="6">
                  <c:v>0.35520692630678319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Probit!$I$3</c:f>
              <c:strCache>
                <c:ptCount val="1"/>
                <c:pt idx="0">
                  <c:v>mid age</c:v>
                </c:pt>
              </c:strCache>
            </c:strRef>
          </c:tx>
          <c:marker>
            <c:symbol val="none"/>
          </c:marker>
          <c:cat>
            <c:numRef>
              <c:f>Probit!$G$5:$G$11</c:f>
              <c:numCache>
                <c:formatCode>General</c:formatCode>
                <c:ptCount val="7"/>
                <c:pt idx="0">
                  <c:v>46</c:v>
                </c:pt>
                <c:pt idx="1">
                  <c:v>51</c:v>
                </c:pt>
                <c:pt idx="2">
                  <c:v>56</c:v>
                </c:pt>
                <c:pt idx="3">
                  <c:v>61</c:v>
                </c:pt>
                <c:pt idx="4">
                  <c:v>66</c:v>
                </c:pt>
                <c:pt idx="5">
                  <c:v>71</c:v>
                </c:pt>
                <c:pt idx="6">
                  <c:v>77</c:v>
                </c:pt>
              </c:numCache>
            </c:numRef>
          </c:cat>
          <c:val>
            <c:numRef>
              <c:f>Probit!$I$5:$I$11</c:f>
              <c:numCache>
                <c:formatCode>0%</c:formatCode>
                <c:ptCount val="7"/>
                <c:pt idx="0">
                  <c:v>0.47499623680621461</c:v>
                </c:pt>
                <c:pt idx="1">
                  <c:v>0.44153789924568415</c:v>
                </c:pt>
                <c:pt idx="2">
                  <c:v>0.40849184501653935</c:v>
                </c:pt>
                <c:pt idx="3">
                  <c:v>0.3760842831994653</c:v>
                </c:pt>
                <c:pt idx="4">
                  <c:v>0.34452809052246569</c:v>
                </c:pt>
                <c:pt idx="5">
                  <c:v>0.31401864364062526</c:v>
                </c:pt>
                <c:pt idx="6">
                  <c:v>0.27903277692180528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Probit!$J$3</c:f>
              <c:strCache>
                <c:ptCount val="1"/>
                <c:pt idx="0">
                  <c:v>older</c:v>
                </c:pt>
              </c:strCache>
            </c:strRef>
          </c:tx>
          <c:marker>
            <c:symbol val="none"/>
          </c:marker>
          <c:cat>
            <c:numRef>
              <c:f>Probit!$G$5:$G$11</c:f>
              <c:numCache>
                <c:formatCode>General</c:formatCode>
                <c:ptCount val="7"/>
                <c:pt idx="0">
                  <c:v>46</c:v>
                </c:pt>
                <c:pt idx="1">
                  <c:v>51</c:v>
                </c:pt>
                <c:pt idx="2">
                  <c:v>56</c:v>
                </c:pt>
                <c:pt idx="3">
                  <c:v>61</c:v>
                </c:pt>
                <c:pt idx="4">
                  <c:v>66</c:v>
                </c:pt>
                <c:pt idx="5">
                  <c:v>71</c:v>
                </c:pt>
                <c:pt idx="6">
                  <c:v>77</c:v>
                </c:pt>
              </c:numCache>
            </c:numRef>
          </c:cat>
          <c:val>
            <c:numRef>
              <c:f>Probit!$J$5:$J$11</c:f>
              <c:numCache>
                <c:formatCode>0%</c:formatCode>
                <c:ptCount val="7"/>
                <c:pt idx="0">
                  <c:v>0.39083894203889691</c:v>
                </c:pt>
                <c:pt idx="1">
                  <c:v>0.35886728862812178</c:v>
                </c:pt>
                <c:pt idx="2">
                  <c:v>0.32785528245148005</c:v>
                </c:pt>
                <c:pt idx="3">
                  <c:v>0.29798728392066076</c:v>
                </c:pt>
                <c:pt idx="4">
                  <c:v>0.2694249379888306</c:v>
                </c:pt>
                <c:pt idx="5">
                  <c:v>0.24230472335836084</c:v>
                </c:pt>
                <c:pt idx="6">
                  <c:v>0.2118165445029756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957648"/>
        <c:axId val="323958208"/>
      </c:lineChart>
      <c:catAx>
        <c:axId val="32395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Price of cigarettes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3958208"/>
        <c:crosses val="autoZero"/>
        <c:auto val="1"/>
        <c:lblAlgn val="ctr"/>
        <c:lblOffset val="100"/>
        <c:noMultiLvlLbl val="0"/>
      </c:catAx>
      <c:valAx>
        <c:axId val="323958208"/>
        <c:scaling>
          <c:orientation val="minMax"/>
          <c:min val="0.2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of smoking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3239576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714375</xdr:colOff>
      <xdr:row>25</xdr:row>
      <xdr:rowOff>61912</xdr:rowOff>
    </xdr:from>
    <xdr:to>
      <xdr:col>17</xdr:col>
      <xdr:colOff>19050</xdr:colOff>
      <xdr:row>39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200025</xdr:colOff>
      <xdr:row>49</xdr:row>
      <xdr:rowOff>33337</xdr:rowOff>
    </xdr:from>
    <xdr:to>
      <xdr:col>17</xdr:col>
      <xdr:colOff>228600</xdr:colOff>
      <xdr:row>63</xdr:row>
      <xdr:rowOff>109537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12</xdr:row>
      <xdr:rowOff>14287</xdr:rowOff>
    </xdr:from>
    <xdr:to>
      <xdr:col>12</xdr:col>
      <xdr:colOff>542925</xdr:colOff>
      <xdr:row>26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6"/>
  <sheetViews>
    <sheetView workbookViewId="0">
      <selection activeCell="E68" sqref="E68"/>
    </sheetView>
  </sheetViews>
  <sheetFormatPr defaultRowHeight="15" x14ac:dyDescent="0.25"/>
  <cols>
    <col min="1" max="1" width="4.140625" customWidth="1"/>
    <col min="2" max="2" width="12.42578125" bestFit="1" customWidth="1"/>
    <col min="3" max="3" width="11" customWidth="1"/>
    <col min="4" max="4" width="12.5703125" bestFit="1" customWidth="1"/>
    <col min="5" max="5" width="13.140625" customWidth="1"/>
    <col min="6" max="6" width="12.7109375" bestFit="1" customWidth="1"/>
    <col min="7" max="7" width="11.5703125" bestFit="1" customWidth="1"/>
    <col min="8" max="8" width="16.140625" customWidth="1"/>
    <col min="9" max="9" width="5" customWidth="1"/>
    <col min="10" max="10" width="11.7109375" bestFit="1" customWidth="1"/>
    <col min="11" max="11" width="9" bestFit="1" customWidth="1"/>
    <col min="12" max="12" width="10" bestFit="1" customWidth="1"/>
    <col min="13" max="13" width="9" bestFit="1" customWidth="1"/>
    <col min="14" max="15" width="10" bestFit="1" customWidth="1"/>
    <col min="17" max="17" width="11" bestFit="1" customWidth="1"/>
    <col min="18" max="18" width="10.140625" bestFit="1" customWidth="1"/>
  </cols>
  <sheetData>
    <row r="2" spans="2:17" x14ac:dyDescent="0.25">
      <c r="L2" s="69" t="s">
        <v>31</v>
      </c>
      <c r="M2" s="69"/>
      <c r="N2" s="69"/>
    </row>
    <row r="3" spans="2:17" x14ac:dyDescent="0.25">
      <c r="L3" s="19" t="s">
        <v>26</v>
      </c>
      <c r="M3" s="19" t="s">
        <v>27</v>
      </c>
      <c r="N3" s="19" t="s">
        <v>28</v>
      </c>
    </row>
    <row r="4" spans="2:17" x14ac:dyDescent="0.25">
      <c r="L4" s="23">
        <v>-0.25</v>
      </c>
      <c r="M4" s="23">
        <v>0</v>
      </c>
      <c r="N4" s="23">
        <v>0.25</v>
      </c>
    </row>
    <row r="5" spans="2:17" x14ac:dyDescent="0.25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3" t="s">
        <v>5</v>
      </c>
      <c r="J5" s="20" t="s">
        <v>30</v>
      </c>
      <c r="K5" s="21">
        <f>E30</f>
        <v>0.38057076128632006</v>
      </c>
      <c r="L5" s="22">
        <f>$D$7+$D$7*L4</f>
        <v>31.413105000000002</v>
      </c>
      <c r="M5" s="22">
        <f t="shared" ref="M5:N5" si="0">$D$7+$D$7*M4</f>
        <v>41.884140000000002</v>
      </c>
      <c r="N5" s="22">
        <f t="shared" si="0"/>
        <v>52.355175000000003</v>
      </c>
      <c r="P5" t="s">
        <v>29</v>
      </c>
      <c r="Q5" t="s">
        <v>32</v>
      </c>
    </row>
    <row r="6" spans="2:17" x14ac:dyDescent="0.25">
      <c r="B6" s="4" t="s">
        <v>6</v>
      </c>
      <c r="C6" s="5">
        <v>1122</v>
      </c>
      <c r="D6" s="5">
        <v>12.191179999999999</v>
      </c>
      <c r="E6" s="40">
        <v>3.2959499999999999</v>
      </c>
      <c r="F6" s="40">
        <v>0</v>
      </c>
      <c r="G6" s="41">
        <v>18</v>
      </c>
      <c r="J6" s="11">
        <v>0.5</v>
      </c>
      <c r="K6">
        <f>$D$9+$D$9*J6</f>
        <v>91.457895000000008</v>
      </c>
      <c r="L6" s="9">
        <f t="dataTable" ref="L6:N25" dt2D="1" dtr="1" r1="D25" r2="D28"/>
        <v>0.23618656000592009</v>
      </c>
      <c r="M6" s="9">
        <v>0.18828084190847005</v>
      </c>
      <c r="N6" s="9">
        <v>0.14037512381102002</v>
      </c>
      <c r="O6" s="26">
        <f>M6-M$16</f>
        <v>-0.19228991937785</v>
      </c>
      <c r="P6" s="13">
        <f t="shared" ref="P6:P24" si="1">K6</f>
        <v>91.457895000000008</v>
      </c>
      <c r="Q6" s="12">
        <f t="shared" ref="Q6:Q24" si="2">M6</f>
        <v>0.18828084190847005</v>
      </c>
    </row>
    <row r="7" spans="2:17" x14ac:dyDescent="0.25">
      <c r="B7" s="4" t="s">
        <v>7</v>
      </c>
      <c r="C7" s="5">
        <v>1122</v>
      </c>
      <c r="D7" s="5">
        <v>41.884140000000002</v>
      </c>
      <c r="E7" s="40">
        <v>17.081240000000001</v>
      </c>
      <c r="F7" s="40">
        <v>17</v>
      </c>
      <c r="G7" s="41">
        <v>88</v>
      </c>
      <c r="J7" s="11">
        <v>0.45</v>
      </c>
      <c r="K7">
        <f t="shared" ref="K7:K25" si="3">$D$9+$D$9*J7</f>
        <v>88.409298500000006</v>
      </c>
      <c r="L7" s="9">
        <v>0.25541555194370513</v>
      </c>
      <c r="M7" s="9">
        <v>0.2075098338462551</v>
      </c>
      <c r="N7" s="9">
        <v>0.15960411574880506</v>
      </c>
      <c r="O7" s="26">
        <f t="shared" ref="O7:O16" si="4">M7-M$16</f>
        <v>-0.17306092744006496</v>
      </c>
      <c r="P7" s="13">
        <f t="shared" si="1"/>
        <v>88.409298500000006</v>
      </c>
      <c r="Q7" s="12">
        <f t="shared" si="2"/>
        <v>0.2075098338462551</v>
      </c>
    </row>
    <row r="8" spans="2:17" x14ac:dyDescent="0.25">
      <c r="B8" s="4" t="s">
        <v>8</v>
      </c>
      <c r="C8" s="5">
        <v>1122</v>
      </c>
      <c r="D8" s="5">
        <v>19359.18</v>
      </c>
      <c r="E8" s="40">
        <v>9052.5159999999996</v>
      </c>
      <c r="F8" s="40">
        <v>500</v>
      </c>
      <c r="G8" s="41">
        <v>30000</v>
      </c>
      <c r="J8" s="11">
        <v>0.4</v>
      </c>
      <c r="K8">
        <f t="shared" si="3"/>
        <v>85.360702000000003</v>
      </c>
      <c r="L8" s="9">
        <v>0.27464454388148996</v>
      </c>
      <c r="M8" s="9">
        <v>0.22673882578403992</v>
      </c>
      <c r="N8" s="9">
        <v>0.17883310768658989</v>
      </c>
      <c r="O8" s="26">
        <f t="shared" si="4"/>
        <v>-0.15383193550228014</v>
      </c>
      <c r="P8" s="13">
        <f t="shared" si="1"/>
        <v>85.360702000000003</v>
      </c>
      <c r="Q8" s="12">
        <f t="shared" si="2"/>
        <v>0.22673882578403992</v>
      </c>
    </row>
    <row r="9" spans="2:17" x14ac:dyDescent="0.25">
      <c r="B9" s="4" t="s">
        <v>9</v>
      </c>
      <c r="C9" s="5">
        <v>1122</v>
      </c>
      <c r="D9" s="5">
        <v>60.97193</v>
      </c>
      <c r="E9" s="40">
        <v>4.8521340000000004</v>
      </c>
      <c r="F9" s="40">
        <v>46.3</v>
      </c>
      <c r="G9" s="41">
        <v>69.8</v>
      </c>
      <c r="H9" s="49"/>
      <c r="J9" s="11">
        <v>0.35</v>
      </c>
      <c r="K9">
        <f t="shared" si="3"/>
        <v>82.312105500000001</v>
      </c>
      <c r="L9" s="9">
        <v>0.293873535819275</v>
      </c>
      <c r="M9" s="9">
        <v>0.24596781772182497</v>
      </c>
      <c r="N9" s="9">
        <v>0.19806209962437493</v>
      </c>
      <c r="O9" s="26">
        <f t="shared" si="4"/>
        <v>-0.13460294356449509</v>
      </c>
      <c r="P9" s="13">
        <f t="shared" si="1"/>
        <v>82.312105500000001</v>
      </c>
      <c r="Q9" s="12">
        <f t="shared" si="2"/>
        <v>0.24596781772182497</v>
      </c>
    </row>
    <row r="10" spans="2:17" x14ac:dyDescent="0.25">
      <c r="B10" s="4" t="s">
        <v>10</v>
      </c>
      <c r="C10" s="5">
        <v>1122</v>
      </c>
      <c r="D10" s="5">
        <v>498.90460000000002</v>
      </c>
      <c r="E10" s="40">
        <v>229.0292</v>
      </c>
      <c r="F10" s="40">
        <v>0</v>
      </c>
      <c r="G10" s="41">
        <v>1386</v>
      </c>
      <c r="J10" s="11">
        <v>0.3</v>
      </c>
      <c r="K10">
        <f t="shared" si="3"/>
        <v>79.263508999999999</v>
      </c>
      <c r="L10" s="9">
        <v>0.31310252775706005</v>
      </c>
      <c r="M10" s="9">
        <v>0.26519680965961001</v>
      </c>
      <c r="N10" s="9">
        <v>0.21729109156215998</v>
      </c>
      <c r="O10" s="26">
        <f t="shared" si="4"/>
        <v>-0.11537395162671005</v>
      </c>
      <c r="P10" s="13">
        <f t="shared" si="1"/>
        <v>79.263508999999999</v>
      </c>
      <c r="Q10" s="12">
        <f t="shared" si="2"/>
        <v>0.26519680965961001</v>
      </c>
    </row>
    <row r="11" spans="2:17" x14ac:dyDescent="0.25">
      <c r="B11" s="4" t="s">
        <v>11</v>
      </c>
      <c r="C11" s="5">
        <v>1122</v>
      </c>
      <c r="D11" s="5">
        <v>0.38057039999999998</v>
      </c>
      <c r="E11" s="40">
        <v>0.4857436</v>
      </c>
      <c r="F11" s="40">
        <v>0</v>
      </c>
      <c r="G11" s="41">
        <v>1</v>
      </c>
      <c r="J11" s="11">
        <v>0.25</v>
      </c>
      <c r="K11">
        <f t="shared" si="3"/>
        <v>76.214912499999997</v>
      </c>
      <c r="L11" s="9">
        <v>0.33233151969484509</v>
      </c>
      <c r="M11" s="9">
        <v>0.28442580159739506</v>
      </c>
      <c r="N11" s="9">
        <v>0.23652008349994502</v>
      </c>
      <c r="O11" s="26">
        <f t="shared" si="4"/>
        <v>-9.6144959688925002E-2</v>
      </c>
      <c r="P11" s="13">
        <f t="shared" si="1"/>
        <v>76.214912499999997</v>
      </c>
      <c r="Q11" s="12">
        <f t="shared" si="2"/>
        <v>0.28442580159739506</v>
      </c>
    </row>
    <row r="12" spans="2:17" x14ac:dyDescent="0.25">
      <c r="B12" s="4" t="s">
        <v>12</v>
      </c>
      <c r="C12" s="5">
        <v>1122</v>
      </c>
      <c r="D12" s="5">
        <v>247161.8</v>
      </c>
      <c r="E12" s="45">
        <v>145848.5</v>
      </c>
      <c r="F12" s="45">
        <v>0</v>
      </c>
      <c r="G12" s="46">
        <v>540000</v>
      </c>
      <c r="J12" s="11">
        <v>0.19999999999999996</v>
      </c>
      <c r="K12">
        <f t="shared" si="3"/>
        <v>73.166315999999995</v>
      </c>
      <c r="L12" s="9">
        <v>0.35156051163263013</v>
      </c>
      <c r="M12" s="9">
        <v>0.3036547935351801</v>
      </c>
      <c r="N12" s="9">
        <v>0.25574907543773007</v>
      </c>
      <c r="O12" s="26">
        <f t="shared" si="4"/>
        <v>-7.6915967751139958E-2</v>
      </c>
      <c r="P12" s="13">
        <f t="shared" si="1"/>
        <v>73.166315999999995</v>
      </c>
      <c r="Q12" s="12">
        <f t="shared" si="2"/>
        <v>0.3036547935351801</v>
      </c>
    </row>
    <row r="13" spans="2:17" x14ac:dyDescent="0.25">
      <c r="B13" s="4" t="s">
        <v>13</v>
      </c>
      <c r="C13" s="5">
        <v>1122</v>
      </c>
      <c r="D13" s="5">
        <v>2.4777179999999999</v>
      </c>
      <c r="E13" s="40">
        <v>1.1127130000000001</v>
      </c>
      <c r="F13" s="40">
        <v>1</v>
      </c>
      <c r="G13" s="41">
        <v>4</v>
      </c>
      <c r="J13" s="11">
        <v>0.14999999999999997</v>
      </c>
      <c r="K13">
        <f t="shared" si="3"/>
        <v>70.117719499999993</v>
      </c>
      <c r="L13" s="9">
        <v>0.37078950357041518</v>
      </c>
      <c r="M13" s="9">
        <v>0.32288378547296515</v>
      </c>
      <c r="N13" s="9">
        <v>0.27497806737551511</v>
      </c>
      <c r="O13" s="26">
        <f t="shared" si="4"/>
        <v>-5.7686975813354913E-2</v>
      </c>
      <c r="P13" s="13">
        <f t="shared" si="1"/>
        <v>70.117719499999993</v>
      </c>
      <c r="Q13" s="12">
        <f t="shared" si="2"/>
        <v>0.32288378547296515</v>
      </c>
    </row>
    <row r="14" spans="2:17" x14ac:dyDescent="0.25">
      <c r="B14" s="4" t="s">
        <v>14</v>
      </c>
      <c r="C14" s="5">
        <v>1122</v>
      </c>
      <c r="D14" s="5">
        <v>1.935918</v>
      </c>
      <c r="E14" s="40">
        <v>0.90525160000000005</v>
      </c>
      <c r="F14" s="40">
        <v>0.05</v>
      </c>
      <c r="G14" s="41">
        <v>3</v>
      </c>
      <c r="J14" s="11">
        <v>9.9999999999999978E-2</v>
      </c>
      <c r="K14">
        <f t="shared" si="3"/>
        <v>67.069123000000005</v>
      </c>
      <c r="L14" s="9">
        <v>0.3900184955082</v>
      </c>
      <c r="M14" s="9">
        <v>0.34211277741074997</v>
      </c>
      <c r="N14" s="9">
        <v>0.29420705931329993</v>
      </c>
      <c r="O14" s="26">
        <f t="shared" si="4"/>
        <v>-3.845798387557009E-2</v>
      </c>
      <c r="P14" s="13">
        <f t="shared" si="1"/>
        <v>67.069123000000005</v>
      </c>
      <c r="Q14" s="12">
        <f t="shared" si="2"/>
        <v>0.34211277741074997</v>
      </c>
    </row>
    <row r="15" spans="2:17" x14ac:dyDescent="0.25">
      <c r="B15" s="4" t="s">
        <v>15</v>
      </c>
      <c r="C15" s="5">
        <v>1122</v>
      </c>
      <c r="D15" s="5">
        <v>0.38057039999999998</v>
      </c>
      <c r="E15" s="40">
        <v>9.4742999999999994E-2</v>
      </c>
      <c r="F15" s="40">
        <v>8.9044300000000007E-2</v>
      </c>
      <c r="G15" s="41">
        <v>0.6657168</v>
      </c>
      <c r="J15" s="11">
        <v>0.01</v>
      </c>
      <c r="K15">
        <f t="shared" si="3"/>
        <v>61.581649300000002</v>
      </c>
      <c r="L15" s="9">
        <v>0.42463068099621304</v>
      </c>
      <c r="M15" s="9">
        <v>0.37672496289876301</v>
      </c>
      <c r="N15" s="9">
        <v>0.32881924480131297</v>
      </c>
      <c r="O15" s="26">
        <f t="shared" si="4"/>
        <v>-3.8457983875570534E-3</v>
      </c>
      <c r="P15" s="13">
        <f t="shared" si="1"/>
        <v>61.581649300000002</v>
      </c>
      <c r="Q15" s="12">
        <f t="shared" si="2"/>
        <v>0.37672496289876301</v>
      </c>
    </row>
    <row r="16" spans="2:17" x14ac:dyDescent="0.25">
      <c r="B16" s="4" t="s">
        <v>16</v>
      </c>
      <c r="C16" s="5">
        <v>1122</v>
      </c>
      <c r="D16" s="5">
        <v>0.38057039999999998</v>
      </c>
      <c r="E16" s="40">
        <v>9.4939599999999999E-2</v>
      </c>
      <c r="F16" s="40">
        <v>0.14329539999999999</v>
      </c>
      <c r="G16" s="41">
        <v>0.67866749999999998</v>
      </c>
      <c r="J16" s="14">
        <v>0</v>
      </c>
      <c r="K16" s="15">
        <f t="shared" si="3"/>
        <v>60.97193</v>
      </c>
      <c r="L16" s="16">
        <v>0.42847647938377009</v>
      </c>
      <c r="M16" s="18">
        <v>0.38057076128632006</v>
      </c>
      <c r="N16" s="16">
        <v>0.33266504318887002</v>
      </c>
      <c r="O16" s="26">
        <f t="shared" si="4"/>
        <v>0</v>
      </c>
      <c r="P16" s="17">
        <f t="shared" si="1"/>
        <v>60.97193</v>
      </c>
      <c r="Q16" s="16">
        <f t="shared" si="2"/>
        <v>0.38057076128632006</v>
      </c>
    </row>
    <row r="17" spans="2:17" x14ac:dyDescent="0.25">
      <c r="B17" s="4" t="s">
        <v>17</v>
      </c>
      <c r="C17" s="5">
        <v>1122</v>
      </c>
      <c r="D17" s="5">
        <v>0.38011400000000001</v>
      </c>
      <c r="E17" s="40">
        <v>9.5727499999999993E-2</v>
      </c>
      <c r="F17" s="40">
        <v>0.13321730000000001</v>
      </c>
      <c r="G17" s="41">
        <v>0.678948</v>
      </c>
      <c r="J17" s="11">
        <v>-0.01</v>
      </c>
      <c r="K17">
        <f t="shared" si="3"/>
        <v>60.362210699999999</v>
      </c>
      <c r="L17" s="9">
        <v>0.43232227777132715</v>
      </c>
      <c r="M17" s="9">
        <v>0.38441655967387711</v>
      </c>
      <c r="N17" s="9">
        <v>0.33651084157642708</v>
      </c>
      <c r="P17" s="13">
        <f t="shared" si="1"/>
        <v>60.362210699999999</v>
      </c>
      <c r="Q17" s="12">
        <f t="shared" si="2"/>
        <v>0.38441655967387711</v>
      </c>
    </row>
    <row r="18" spans="2:17" x14ac:dyDescent="0.25">
      <c r="B18" s="4" t="s">
        <v>18</v>
      </c>
      <c r="C18" s="5">
        <v>1122</v>
      </c>
      <c r="D18" s="5">
        <v>2.3030300000000001</v>
      </c>
      <c r="E18" s="40">
        <v>1.1099140000000001</v>
      </c>
      <c r="F18" s="40">
        <v>1</v>
      </c>
      <c r="G18" s="41">
        <v>4</v>
      </c>
      <c r="J18" s="11">
        <v>-0.10000000000000009</v>
      </c>
      <c r="K18">
        <f t="shared" si="3"/>
        <v>54.874736999999996</v>
      </c>
      <c r="L18" s="9">
        <v>0.46693446325934007</v>
      </c>
      <c r="M18" s="9">
        <v>0.41902874516189004</v>
      </c>
      <c r="N18" s="9">
        <v>0.37112302706444</v>
      </c>
      <c r="P18" s="13">
        <f t="shared" si="1"/>
        <v>54.874736999999996</v>
      </c>
      <c r="Q18" s="12">
        <f t="shared" si="2"/>
        <v>0.41902874516189004</v>
      </c>
    </row>
    <row r="19" spans="2:17" x14ac:dyDescent="0.25">
      <c r="B19" s="4" t="s">
        <v>19</v>
      </c>
      <c r="C19" s="5">
        <v>1122</v>
      </c>
      <c r="D19" s="5">
        <v>1.9714799999999999</v>
      </c>
      <c r="E19" s="40">
        <v>0.8379318</v>
      </c>
      <c r="F19" s="40">
        <v>1</v>
      </c>
      <c r="G19" s="41">
        <v>3</v>
      </c>
      <c r="J19" s="11">
        <v>-0.15000000000000002</v>
      </c>
      <c r="K19">
        <f t="shared" si="3"/>
        <v>51.826140500000001</v>
      </c>
      <c r="L19" s="9">
        <v>0.48616345519712501</v>
      </c>
      <c r="M19" s="9">
        <v>0.43825773709967497</v>
      </c>
      <c r="N19" s="9">
        <v>0.39035201900222494</v>
      </c>
      <c r="P19" s="13">
        <f t="shared" si="1"/>
        <v>51.826140500000001</v>
      </c>
      <c r="Q19" s="12">
        <f t="shared" si="2"/>
        <v>0.43825773709967497</v>
      </c>
    </row>
    <row r="20" spans="2:17" x14ac:dyDescent="0.25">
      <c r="B20" s="4" t="s">
        <v>20</v>
      </c>
      <c r="C20" s="5">
        <v>1122</v>
      </c>
      <c r="D20" s="5">
        <v>2.4910869999999998</v>
      </c>
      <c r="E20" s="40">
        <v>1.1137010000000001</v>
      </c>
      <c r="F20" s="40">
        <v>1</v>
      </c>
      <c r="G20" s="41">
        <v>4</v>
      </c>
      <c r="J20" s="11">
        <v>-0.20000000000000007</v>
      </c>
      <c r="K20">
        <f t="shared" si="3"/>
        <v>48.777543999999999</v>
      </c>
      <c r="L20" s="9">
        <v>0.50539244713491005</v>
      </c>
      <c r="M20" s="9">
        <v>0.45748672903746002</v>
      </c>
      <c r="N20" s="9">
        <v>0.40958101094000998</v>
      </c>
      <c r="P20" s="13">
        <f t="shared" si="1"/>
        <v>48.777543999999999</v>
      </c>
      <c r="Q20" s="12">
        <f t="shared" si="2"/>
        <v>0.45748672903746002</v>
      </c>
    </row>
    <row r="21" spans="2:17" x14ac:dyDescent="0.25">
      <c r="B21" s="6" t="s">
        <v>21</v>
      </c>
      <c r="C21" s="7">
        <v>1122</v>
      </c>
      <c r="D21" s="7">
        <v>4.1070289999999998</v>
      </c>
      <c r="E21" s="43">
        <v>8.3802000000000001E-2</v>
      </c>
      <c r="F21" s="43">
        <v>3.8351419999999998</v>
      </c>
      <c r="G21" s="44">
        <v>4.2456339999999999</v>
      </c>
      <c r="J21" s="11">
        <v>-0.25</v>
      </c>
      <c r="K21">
        <f t="shared" si="3"/>
        <v>45.728947500000004</v>
      </c>
      <c r="L21" s="9">
        <v>0.52462143907269509</v>
      </c>
      <c r="M21" s="9">
        <v>0.47671572097524506</v>
      </c>
      <c r="N21" s="9">
        <v>0.42881000287779503</v>
      </c>
      <c r="P21" s="13">
        <f t="shared" si="1"/>
        <v>45.728947500000004</v>
      </c>
      <c r="Q21" s="12">
        <f t="shared" si="2"/>
        <v>0.47671572097524506</v>
      </c>
    </row>
    <row r="22" spans="2:17" x14ac:dyDescent="0.25">
      <c r="J22" s="11">
        <v>-0.30000000000000004</v>
      </c>
      <c r="K22">
        <f t="shared" si="3"/>
        <v>42.680351000000002</v>
      </c>
      <c r="L22" s="9">
        <v>0.54385043101048003</v>
      </c>
      <c r="M22" s="9">
        <v>0.49594471291302999</v>
      </c>
      <c r="N22" s="9">
        <v>0.44803899481557996</v>
      </c>
      <c r="P22" s="13">
        <f t="shared" si="1"/>
        <v>42.680351000000002</v>
      </c>
      <c r="Q22" s="12">
        <f t="shared" si="2"/>
        <v>0.49594471291302999</v>
      </c>
    </row>
    <row r="23" spans="2:17" x14ac:dyDescent="0.25">
      <c r="J23" s="11">
        <v>-0.35000000000000009</v>
      </c>
      <c r="K23">
        <f t="shared" si="3"/>
        <v>39.6317545</v>
      </c>
      <c r="L23" s="9">
        <v>0.56307942294826507</v>
      </c>
      <c r="M23" s="9">
        <v>0.51517370485081504</v>
      </c>
      <c r="N23" s="9">
        <v>0.46726798675336501</v>
      </c>
      <c r="P23" s="13">
        <f t="shared" si="1"/>
        <v>39.6317545</v>
      </c>
      <c r="Q23" s="12">
        <f t="shared" si="2"/>
        <v>0.51517370485081504</v>
      </c>
    </row>
    <row r="24" spans="2:17" x14ac:dyDescent="0.25">
      <c r="B24" s="1" t="s">
        <v>0</v>
      </c>
      <c r="C24" s="2" t="s">
        <v>23</v>
      </c>
      <c r="D24" s="2" t="s">
        <v>2</v>
      </c>
      <c r="E24" s="3" t="s">
        <v>24</v>
      </c>
      <c r="J24" s="11">
        <v>-0.4</v>
      </c>
      <c r="K24">
        <f t="shared" si="3"/>
        <v>36.583157999999997</v>
      </c>
      <c r="L24" s="9">
        <v>0.58230841488605001</v>
      </c>
      <c r="M24" s="9">
        <v>0.53440269678859997</v>
      </c>
      <c r="N24" s="9">
        <v>0.48649697869114994</v>
      </c>
      <c r="P24" s="13">
        <f t="shared" si="1"/>
        <v>36.583157999999997</v>
      </c>
      <c r="Q24" s="12">
        <f t="shared" si="2"/>
        <v>0.53440269678859997</v>
      </c>
    </row>
    <row r="25" spans="2:17" x14ac:dyDescent="0.25">
      <c r="B25" s="4" t="s">
        <v>7</v>
      </c>
      <c r="C25" s="40">
        <v>-4.5750699999999997E-3</v>
      </c>
      <c r="D25" s="40">
        <v>41.884140000000002</v>
      </c>
      <c r="E25" s="41">
        <f>D25*C25</f>
        <v>-0.1916228723898</v>
      </c>
      <c r="J25" s="11">
        <v>-0.45000000000000007</v>
      </c>
      <c r="K25">
        <f t="shared" si="3"/>
        <v>33.534561499999995</v>
      </c>
      <c r="L25" s="9">
        <v>0.60153740682383505</v>
      </c>
      <c r="M25" s="9">
        <v>0.55363168872638502</v>
      </c>
      <c r="N25" s="9">
        <v>0.50572597062893498</v>
      </c>
    </row>
    <row r="26" spans="2:17" x14ac:dyDescent="0.25">
      <c r="B26" s="4" t="s">
        <v>6</v>
      </c>
      <c r="C26" s="40">
        <v>-1.9666340000000001E-2</v>
      </c>
      <c r="D26" s="40">
        <v>12.191179999999999</v>
      </c>
      <c r="E26" s="41">
        <f t="shared" ref="E26:E29" si="5">D26*C26</f>
        <v>-0.2397558908812</v>
      </c>
    </row>
    <row r="27" spans="2:17" x14ac:dyDescent="0.25">
      <c r="B27" s="4" t="s">
        <v>14</v>
      </c>
      <c r="C27" s="40">
        <v>7.9478900000000009E-3</v>
      </c>
      <c r="D27" s="40">
        <v>1.935918</v>
      </c>
      <c r="E27" s="41">
        <f t="shared" si="5"/>
        <v>1.5386463313020002E-2</v>
      </c>
    </row>
    <row r="28" spans="2:17" x14ac:dyDescent="0.25">
      <c r="B28" s="4" t="s">
        <v>9</v>
      </c>
      <c r="C28" s="40">
        <v>-6.3074899999999998E-3</v>
      </c>
      <c r="D28" s="40">
        <v>60.97193</v>
      </c>
      <c r="E28" s="41">
        <f t="shared" si="5"/>
        <v>-0.38457983875570001</v>
      </c>
    </row>
    <row r="29" spans="2:17" x14ac:dyDescent="0.25">
      <c r="B29" s="4" t="s">
        <v>22</v>
      </c>
      <c r="C29" s="40">
        <v>1.1811429</v>
      </c>
      <c r="D29" s="40">
        <v>1</v>
      </c>
      <c r="E29" s="41">
        <f t="shared" si="5"/>
        <v>1.1811429</v>
      </c>
    </row>
    <row r="30" spans="2:17" x14ac:dyDescent="0.25">
      <c r="B30" s="6" t="s">
        <v>25</v>
      </c>
      <c r="C30" s="7"/>
      <c r="D30" s="7"/>
      <c r="E30" s="42">
        <f>SUM(E25:E29)</f>
        <v>0.38057076128632006</v>
      </c>
      <c r="F30" s="10"/>
    </row>
    <row r="33" spans="2:8" x14ac:dyDescent="0.25">
      <c r="B33" s="1" t="s">
        <v>0</v>
      </c>
      <c r="C33" s="2" t="s">
        <v>23</v>
      </c>
      <c r="D33" s="2" t="s">
        <v>2</v>
      </c>
      <c r="E33" s="3" t="s">
        <v>24</v>
      </c>
    </row>
    <row r="34" spans="2:8" x14ac:dyDescent="0.25">
      <c r="B34" s="4" t="s">
        <v>7</v>
      </c>
      <c r="C34" s="40">
        <v>-4.5764200000000003E-3</v>
      </c>
      <c r="D34" s="40">
        <v>41.884140000000002</v>
      </c>
      <c r="E34" s="41">
        <f>D34*C34</f>
        <v>-0.19167941597880003</v>
      </c>
      <c r="H34">
        <f>EXP(-0.0202)</f>
        <v>0.98000265317476054</v>
      </c>
    </row>
    <row r="35" spans="2:8" x14ac:dyDescent="0.25">
      <c r="B35" s="4" t="s">
        <v>6</v>
      </c>
      <c r="C35" s="40">
        <v>-1.9638409999999999E-2</v>
      </c>
      <c r="D35" s="40">
        <v>12.191179999999999</v>
      </c>
      <c r="E35" s="41">
        <f t="shared" ref="E35:E38" si="6">D35*C35</f>
        <v>-0.23941539122379996</v>
      </c>
      <c r="F35" s="13"/>
    </row>
    <row r="36" spans="2:8" x14ac:dyDescent="0.25">
      <c r="B36" s="4" t="s">
        <v>14</v>
      </c>
      <c r="C36" s="40">
        <v>7.9859400000000004E-3</v>
      </c>
      <c r="D36" s="40">
        <v>1.935918</v>
      </c>
      <c r="E36" s="41">
        <f t="shared" si="6"/>
        <v>1.546012499292E-2</v>
      </c>
      <c r="F36" s="10"/>
    </row>
    <row r="37" spans="2:8" x14ac:dyDescent="0.25">
      <c r="B37" s="4" t="s">
        <v>21</v>
      </c>
      <c r="C37" s="40">
        <v>-0.35454327000000002</v>
      </c>
      <c r="D37" s="40">
        <v>4.1070289999999998</v>
      </c>
      <c r="E37" s="41">
        <f t="shared" si="6"/>
        <v>-1.4561194916448301</v>
      </c>
      <c r="F37" s="10">
        <f>C37/100</f>
        <v>-3.5454327000000001E-3</v>
      </c>
      <c r="G37" s="10">
        <f>F37*10</f>
        <v>-3.5454327000000001E-2</v>
      </c>
      <c r="H37" s="27">
        <f>C37/100*25</f>
        <v>-8.8635817500000005E-2</v>
      </c>
    </row>
    <row r="38" spans="2:8" x14ac:dyDescent="0.25">
      <c r="B38" s="4" t="s">
        <v>22</v>
      </c>
      <c r="C38" s="40">
        <v>2.2523247</v>
      </c>
      <c r="D38" s="40">
        <v>1</v>
      </c>
      <c r="E38" s="41">
        <f t="shared" si="6"/>
        <v>2.2523247</v>
      </c>
      <c r="F38" s="10"/>
      <c r="H38" s="25">
        <f>E39+H37</f>
        <v>0.29193470864548993</v>
      </c>
    </row>
    <row r="39" spans="2:8" x14ac:dyDescent="0.25">
      <c r="B39" s="6"/>
      <c r="C39" s="7"/>
      <c r="D39" s="7"/>
      <c r="E39" s="42">
        <f>SUM(E34:E38)</f>
        <v>0.38057052614548992</v>
      </c>
      <c r="F39" s="10"/>
    </row>
    <row r="40" spans="2:8" x14ac:dyDescent="0.25">
      <c r="C40" s="13"/>
      <c r="E40" s="10"/>
      <c r="F40" s="10"/>
    </row>
    <row r="41" spans="2:8" x14ac:dyDescent="0.25">
      <c r="C41" s="13"/>
      <c r="E41" s="10"/>
      <c r="F41" s="10"/>
    </row>
    <row r="42" spans="2:8" x14ac:dyDescent="0.25">
      <c r="D42" s="69" t="s">
        <v>31</v>
      </c>
      <c r="E42" s="69"/>
      <c r="F42" s="69"/>
    </row>
    <row r="43" spans="2:8" x14ac:dyDescent="0.25">
      <c r="D43" s="19" t="s">
        <v>26</v>
      </c>
      <c r="E43" s="19" t="s">
        <v>27</v>
      </c>
      <c r="F43" s="19" t="s">
        <v>28</v>
      </c>
    </row>
    <row r="44" spans="2:8" x14ac:dyDescent="0.25">
      <c r="D44" s="23">
        <v>-0.25</v>
      </c>
      <c r="E44" s="23">
        <v>0</v>
      </c>
      <c r="F44" s="23">
        <v>0.25</v>
      </c>
    </row>
    <row r="45" spans="2:8" x14ac:dyDescent="0.25">
      <c r="B45" s="20" t="s">
        <v>30</v>
      </c>
      <c r="C45" s="24">
        <f>E39</f>
        <v>0.38057052614548992</v>
      </c>
      <c r="D45" s="22">
        <f>$D$7+$D$7*D44</f>
        <v>31.413105000000002</v>
      </c>
      <c r="E45" s="22">
        <f t="shared" ref="E45" si="7">$D$7+$D$7*E44</f>
        <v>41.884140000000002</v>
      </c>
      <c r="F45" s="22">
        <f t="shared" ref="F45" si="8">$D$7+$D$7*F44</f>
        <v>52.355175000000003</v>
      </c>
    </row>
    <row r="46" spans="2:8" x14ac:dyDescent="0.25">
      <c r="B46" s="11">
        <v>0.5</v>
      </c>
      <c r="C46">
        <f>$D$21+$D$21*B46</f>
        <v>6.1605434999999993</v>
      </c>
      <c r="D46" s="9">
        <f t="dataTable" ref="D46:F65" dt2D="1" dtr="1" r1="D34" r2="D37"/>
        <v>-0.29956936568222492</v>
      </c>
      <c r="E46" s="9">
        <v>-0.34748921967692503</v>
      </c>
      <c r="F46" s="9">
        <v>-0.3954090736716247</v>
      </c>
    </row>
    <row r="47" spans="2:8" x14ac:dyDescent="0.25">
      <c r="B47" s="11">
        <v>0.45</v>
      </c>
      <c r="C47">
        <f t="shared" ref="C47:C65" si="9">$D$21+$D$21*B47</f>
        <v>5.95519205</v>
      </c>
      <c r="D47" s="9">
        <v>-0.22676339109998356</v>
      </c>
      <c r="E47" s="9">
        <v>-0.27468324509468367</v>
      </c>
      <c r="F47" s="9">
        <v>-0.32260309908938334</v>
      </c>
    </row>
    <row r="48" spans="2:8" x14ac:dyDescent="0.25">
      <c r="B48" s="11">
        <v>0.4</v>
      </c>
      <c r="C48">
        <f t="shared" si="9"/>
        <v>5.7498405999999997</v>
      </c>
      <c r="D48" s="9">
        <v>-0.1539574165177422</v>
      </c>
      <c r="E48" s="9">
        <v>-0.20187727051244231</v>
      </c>
      <c r="F48" s="9">
        <v>-0.24979712450714198</v>
      </c>
    </row>
    <row r="49" spans="2:10" x14ac:dyDescent="0.25">
      <c r="B49" s="11">
        <v>0.35</v>
      </c>
      <c r="C49">
        <f t="shared" si="9"/>
        <v>5.5444891499999995</v>
      </c>
      <c r="D49" s="9">
        <v>-8.115144193550039E-2</v>
      </c>
      <c r="E49" s="9">
        <v>-0.1290712959302005</v>
      </c>
      <c r="F49" s="9">
        <v>-0.17699114992490061</v>
      </c>
    </row>
    <row r="50" spans="2:10" x14ac:dyDescent="0.25">
      <c r="B50" s="11">
        <v>0.3</v>
      </c>
      <c r="C50">
        <f t="shared" si="9"/>
        <v>5.3391377000000002</v>
      </c>
      <c r="D50" s="9">
        <v>-8.3454673532590284E-3</v>
      </c>
      <c r="E50" s="9">
        <v>-5.6265321347959141E-2</v>
      </c>
      <c r="F50" s="9">
        <v>-0.10418517534265925</v>
      </c>
      <c r="G50" s="26">
        <f>E50-$E$56</f>
        <v>-0.43683584749344906</v>
      </c>
      <c r="H50" s="12">
        <f>E50-E51</f>
        <v>-0.14561194916448317</v>
      </c>
      <c r="I50" t="s">
        <v>29</v>
      </c>
      <c r="J50" t="s">
        <v>33</v>
      </c>
    </row>
    <row r="51" spans="2:10" x14ac:dyDescent="0.25">
      <c r="B51" s="11">
        <v>0.2</v>
      </c>
      <c r="C51">
        <f t="shared" si="9"/>
        <v>4.9284347999999998</v>
      </c>
      <c r="D51" s="9">
        <v>0.13726648181122414</v>
      </c>
      <c r="E51" s="9">
        <v>8.9346627816524027E-2</v>
      </c>
      <c r="F51" s="9">
        <v>4.1426773821823915E-2</v>
      </c>
      <c r="G51" s="26">
        <f t="shared" ref="G51:G65" si="10">E51-$E$56</f>
        <v>-0.29122389832896589</v>
      </c>
      <c r="H51" s="12">
        <f t="shared" ref="H51:H65" si="11">E51-E52</f>
        <v>-7.2805974582241362E-2</v>
      </c>
      <c r="I51">
        <f>EXP(C51)</f>
        <v>138.16309014344063</v>
      </c>
      <c r="J51" s="8">
        <v>8.9346627816524027E-2</v>
      </c>
    </row>
    <row r="52" spans="2:10" x14ac:dyDescent="0.25">
      <c r="B52" s="11">
        <v>0.15</v>
      </c>
      <c r="C52">
        <f t="shared" si="9"/>
        <v>4.7230833499999996</v>
      </c>
      <c r="D52" s="9">
        <v>0.2100724563934655</v>
      </c>
      <c r="E52" s="9">
        <v>0.16215260239876539</v>
      </c>
      <c r="F52" s="9">
        <v>0.11423274840406572</v>
      </c>
      <c r="G52" s="26">
        <f t="shared" si="10"/>
        <v>-0.21841792374672453</v>
      </c>
      <c r="H52" s="12">
        <f t="shared" si="11"/>
        <v>-7.2805974582241806E-2</v>
      </c>
      <c r="I52">
        <f t="shared" ref="I52:I65" si="12">EXP(C52)</f>
        <v>112.51464039254098</v>
      </c>
      <c r="J52" s="8">
        <v>0.16215260239876539</v>
      </c>
    </row>
    <row r="53" spans="2:10" x14ac:dyDescent="0.25">
      <c r="B53" s="11">
        <v>0.1</v>
      </c>
      <c r="C53">
        <f t="shared" si="9"/>
        <v>4.5177318999999994</v>
      </c>
      <c r="D53" s="9">
        <v>0.28287843097570708</v>
      </c>
      <c r="E53" s="9">
        <v>0.23495857698100719</v>
      </c>
      <c r="F53" s="9">
        <v>0.18703872298630708</v>
      </c>
      <c r="G53" s="26">
        <f t="shared" si="10"/>
        <v>-0.14561194916448272</v>
      </c>
      <c r="H53" s="12">
        <f t="shared" si="11"/>
        <v>-7.280597458224114E-2</v>
      </c>
      <c r="I53">
        <f t="shared" si="12"/>
        <v>91.627541693803337</v>
      </c>
      <c r="J53" s="8">
        <v>0.23495857698100719</v>
      </c>
    </row>
    <row r="54" spans="2:10" x14ac:dyDescent="0.25">
      <c r="B54" s="11">
        <v>0.05</v>
      </c>
      <c r="C54">
        <f t="shared" si="9"/>
        <v>4.31238045</v>
      </c>
      <c r="D54" s="9">
        <v>0.35568440555794822</v>
      </c>
      <c r="E54" s="9">
        <v>0.30776455156324833</v>
      </c>
      <c r="F54" s="9">
        <v>0.25984469756854822</v>
      </c>
      <c r="G54" s="26">
        <f t="shared" si="10"/>
        <v>-7.2805974582241584E-2</v>
      </c>
      <c r="H54" s="12">
        <f t="shared" si="11"/>
        <v>-5.8244779665793223E-2</v>
      </c>
      <c r="I54">
        <f t="shared" si="12"/>
        <v>74.617901879782849</v>
      </c>
      <c r="J54" s="8">
        <v>0.30776455156324833</v>
      </c>
    </row>
    <row r="55" spans="2:10" x14ac:dyDescent="0.25">
      <c r="B55" s="11">
        <v>0.01</v>
      </c>
      <c r="C55">
        <f t="shared" si="9"/>
        <v>4.1480992900000002</v>
      </c>
      <c r="D55" s="9">
        <v>0.41392918522374145</v>
      </c>
      <c r="E55" s="9">
        <v>0.36600933122904156</v>
      </c>
      <c r="F55" s="9">
        <v>0.31808947723434144</v>
      </c>
      <c r="G55" s="26">
        <f t="shared" si="10"/>
        <v>-1.4561194916448361E-2</v>
      </c>
      <c r="H55" s="12">
        <f t="shared" si="11"/>
        <v>-1.4561194916448361E-2</v>
      </c>
      <c r="I55">
        <f t="shared" si="12"/>
        <v>63.313545170813207</v>
      </c>
      <c r="J55" s="8">
        <v>0.36600933122904156</v>
      </c>
    </row>
    <row r="56" spans="2:10" x14ac:dyDescent="0.25">
      <c r="B56" s="14">
        <v>0</v>
      </c>
      <c r="C56">
        <f t="shared" si="9"/>
        <v>4.1070289999999998</v>
      </c>
      <c r="D56" s="16">
        <v>0.42849038014018981</v>
      </c>
      <c r="E56" s="18">
        <v>0.38057052614548992</v>
      </c>
      <c r="F56" s="16">
        <v>0.33265067215078981</v>
      </c>
      <c r="G56" s="26">
        <f t="shared" si="10"/>
        <v>0</v>
      </c>
      <c r="H56" s="12">
        <f t="shared" si="11"/>
        <v>-1.4561194916448583E-2</v>
      </c>
      <c r="I56">
        <f t="shared" si="12"/>
        <v>60.765913589029999</v>
      </c>
      <c r="J56" s="8">
        <v>0.38057052614548992</v>
      </c>
    </row>
    <row r="57" spans="2:10" x14ac:dyDescent="0.25">
      <c r="B57" s="11">
        <v>-0.01</v>
      </c>
      <c r="C57">
        <f t="shared" si="9"/>
        <v>4.0659587099999994</v>
      </c>
      <c r="D57" s="9">
        <v>0.44305157505663839</v>
      </c>
      <c r="E57" s="9">
        <v>0.3951317210619385</v>
      </c>
      <c r="F57" s="9">
        <v>0.34721186706723839</v>
      </c>
      <c r="G57" s="26">
        <f t="shared" si="10"/>
        <v>1.4561194916448583E-2</v>
      </c>
      <c r="H57" s="12">
        <f t="shared" si="11"/>
        <v>-5.8244779665793001E-2</v>
      </c>
      <c r="I57">
        <f t="shared" si="12"/>
        <v>58.32079445792364</v>
      </c>
      <c r="J57" s="8">
        <v>0.3951317210619385</v>
      </c>
    </row>
    <row r="58" spans="2:10" x14ac:dyDescent="0.25">
      <c r="B58" s="11">
        <v>-0.05</v>
      </c>
      <c r="C58">
        <f t="shared" si="9"/>
        <v>3.9016775499999996</v>
      </c>
      <c r="D58" s="9">
        <v>0.50129635472243139</v>
      </c>
      <c r="E58" s="9">
        <v>0.4533765007277315</v>
      </c>
      <c r="F58" s="9">
        <v>0.40545664673303139</v>
      </c>
      <c r="G58" s="26">
        <f t="shared" si="10"/>
        <v>7.2805974582241584E-2</v>
      </c>
      <c r="H58" s="12">
        <f t="shared" si="11"/>
        <v>-7.2805974582241584E-2</v>
      </c>
      <c r="I58">
        <f t="shared" si="12"/>
        <v>49.485393736458228</v>
      </c>
      <c r="J58" s="8">
        <v>0.4533765007277315</v>
      </c>
    </row>
    <row r="59" spans="2:10" x14ac:dyDescent="0.25">
      <c r="B59" s="11">
        <v>-0.1</v>
      </c>
      <c r="C59">
        <f t="shared" si="9"/>
        <v>3.6963260999999998</v>
      </c>
      <c r="D59" s="9">
        <v>0.57410232930467298</v>
      </c>
      <c r="E59" s="9">
        <v>0.52618247530997309</v>
      </c>
      <c r="F59" s="9">
        <v>0.47826262131527297</v>
      </c>
      <c r="G59" s="26">
        <f t="shared" si="10"/>
        <v>0.14561194916448317</v>
      </c>
      <c r="H59" s="12">
        <f t="shared" si="11"/>
        <v>-7.2805974582241362E-2</v>
      </c>
      <c r="I59">
        <f t="shared" si="12"/>
        <v>40.298977644176816</v>
      </c>
      <c r="J59" s="8">
        <v>0.52618247530997309</v>
      </c>
    </row>
    <row r="60" spans="2:10" x14ac:dyDescent="0.25">
      <c r="B60" s="11">
        <v>-0.15</v>
      </c>
      <c r="C60">
        <f t="shared" si="9"/>
        <v>3.4909746500000001</v>
      </c>
      <c r="D60" s="9">
        <v>0.64690830388691434</v>
      </c>
      <c r="E60" s="9">
        <v>0.59898844989221445</v>
      </c>
      <c r="F60" s="9">
        <v>0.55106859589751434</v>
      </c>
      <c r="G60" s="26">
        <f t="shared" si="10"/>
        <v>0.21841792374672453</v>
      </c>
      <c r="H60" s="12">
        <f t="shared" si="11"/>
        <v>-7.2805974582241584E-2</v>
      </c>
      <c r="I60">
        <f t="shared" si="12"/>
        <v>32.817918107608783</v>
      </c>
      <c r="J60" s="8">
        <v>0.59898844989221445</v>
      </c>
    </row>
    <row r="61" spans="2:10" x14ac:dyDescent="0.25">
      <c r="B61" s="11">
        <v>-0.2</v>
      </c>
      <c r="C61">
        <f t="shared" si="9"/>
        <v>3.2856231999999999</v>
      </c>
      <c r="D61" s="9">
        <v>0.71971427846915592</v>
      </c>
      <c r="E61" s="9">
        <v>0.67179442447445603</v>
      </c>
      <c r="F61" s="9">
        <v>0.62387457047975592</v>
      </c>
      <c r="G61" s="26">
        <f t="shared" si="10"/>
        <v>0.29122389832896611</v>
      </c>
      <c r="H61" s="12">
        <f t="shared" si="11"/>
        <v>-0.14561194916448317</v>
      </c>
      <c r="I61">
        <f t="shared" si="12"/>
        <v>26.72563454158357</v>
      </c>
      <c r="J61" s="8">
        <v>0.67179442447445603</v>
      </c>
    </row>
    <row r="62" spans="2:10" x14ac:dyDescent="0.25">
      <c r="B62" s="11">
        <v>-0.30000000000000004</v>
      </c>
      <c r="C62">
        <f t="shared" si="9"/>
        <v>2.8749202999999994</v>
      </c>
      <c r="D62" s="9">
        <v>0.86532622763363909</v>
      </c>
      <c r="E62" s="9">
        <v>0.8174063736389392</v>
      </c>
      <c r="F62" s="9">
        <v>0.76948651964423909</v>
      </c>
      <c r="G62" s="26">
        <f t="shared" si="10"/>
        <v>0.43683584749344928</v>
      </c>
      <c r="H62" s="12">
        <f t="shared" si="11"/>
        <v>-7.2805974582241584E-2</v>
      </c>
      <c r="I62">
        <f t="shared" si="12"/>
        <v>17.724011461454399</v>
      </c>
      <c r="J62" s="8">
        <v>0.8174063736389392</v>
      </c>
    </row>
    <row r="63" spans="2:10" x14ac:dyDescent="0.25">
      <c r="B63" s="11">
        <v>-0.35000000000000009</v>
      </c>
      <c r="C63">
        <f t="shared" si="9"/>
        <v>2.6695688499999992</v>
      </c>
      <c r="D63" s="9">
        <v>0.93813220221588067</v>
      </c>
      <c r="E63" s="9">
        <v>0.89021234822118078</v>
      </c>
      <c r="F63" s="9">
        <v>0.84229249422648067</v>
      </c>
      <c r="G63" s="26">
        <f t="shared" si="10"/>
        <v>0.50964182207569086</v>
      </c>
      <c r="H63" s="12">
        <f t="shared" si="11"/>
        <v>-7.280597458224114E-2</v>
      </c>
      <c r="I63">
        <f t="shared" si="12"/>
        <v>14.433744742017794</v>
      </c>
      <c r="J63" s="8">
        <v>0.89021234822118078</v>
      </c>
    </row>
    <row r="64" spans="2:10" x14ac:dyDescent="0.25">
      <c r="B64" s="11">
        <v>-0.4</v>
      </c>
      <c r="C64">
        <f t="shared" si="9"/>
        <v>2.4642173999999999</v>
      </c>
      <c r="D64" s="9">
        <v>1.010938176798122</v>
      </c>
      <c r="E64" s="9">
        <v>0.96301832280342192</v>
      </c>
      <c r="F64" s="9">
        <v>0.91509846880872203</v>
      </c>
      <c r="G64" s="26">
        <f t="shared" si="10"/>
        <v>0.582447796657932</v>
      </c>
      <c r="H64" s="12">
        <f t="shared" si="11"/>
        <v>-7.2805974582241584E-2</v>
      </c>
      <c r="I64">
        <f t="shared" si="12"/>
        <v>11.75427965225605</v>
      </c>
      <c r="J64" s="8">
        <v>0.96301832280342192</v>
      </c>
    </row>
    <row r="65" spans="2:10" x14ac:dyDescent="0.25">
      <c r="B65" s="11">
        <v>-0.45000000000000007</v>
      </c>
      <c r="C65">
        <f t="shared" si="9"/>
        <v>2.2588659499999997</v>
      </c>
      <c r="D65" s="9">
        <v>1.0837441513803636</v>
      </c>
      <c r="E65" s="9">
        <v>1.0358242973856635</v>
      </c>
      <c r="F65" s="9">
        <v>0.98790444339096362</v>
      </c>
      <c r="G65" s="26">
        <f t="shared" si="10"/>
        <v>0.65525377124017359</v>
      </c>
      <c r="H65" s="12">
        <f t="shared" si="11"/>
        <v>1.0358242973856635</v>
      </c>
      <c r="I65">
        <f t="shared" si="12"/>
        <v>9.572227624424908</v>
      </c>
      <c r="J65" s="8">
        <v>1.0358242973856635</v>
      </c>
    </row>
    <row r="66" spans="2:10" x14ac:dyDescent="0.25">
      <c r="G66" s="26"/>
    </row>
  </sheetData>
  <mergeCells count="2">
    <mergeCell ref="L2:N2"/>
    <mergeCell ref="D42:F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E9" sqref="B2:E9"/>
    </sheetView>
  </sheetViews>
  <sheetFormatPr defaultRowHeight="15" x14ac:dyDescent="0.25"/>
  <cols>
    <col min="1" max="1" width="4.5703125" customWidth="1"/>
    <col min="2" max="2" width="13" customWidth="1"/>
  </cols>
  <sheetData>
    <row r="2" spans="1:8" x14ac:dyDescent="0.25">
      <c r="B2" s="1" t="s">
        <v>39</v>
      </c>
      <c r="C2" s="2" t="s">
        <v>34</v>
      </c>
      <c r="D2" s="2" t="s">
        <v>2</v>
      </c>
      <c r="E2" s="3" t="s">
        <v>35</v>
      </c>
    </row>
    <row r="3" spans="1:8" x14ac:dyDescent="0.25">
      <c r="B3" s="4" t="s">
        <v>7</v>
      </c>
      <c r="C3" s="36">
        <v>-2.0167299999999999E-2</v>
      </c>
      <c r="D3" s="36">
        <v>41.884140000000002</v>
      </c>
      <c r="E3" s="37">
        <f>D3*C3</f>
        <v>-0.84469001662200005</v>
      </c>
    </row>
    <row r="4" spans="1:8" x14ac:dyDescent="0.25">
      <c r="B4" s="4" t="s">
        <v>6</v>
      </c>
      <c r="C4" s="36">
        <v>-8.6737300000000003E-2</v>
      </c>
      <c r="D4" s="36">
        <v>12.191179999999999</v>
      </c>
      <c r="E4" s="37">
        <f t="shared" ref="E4:E7" si="0">D4*C4</f>
        <v>-1.057430037014</v>
      </c>
    </row>
    <row r="5" spans="1:8" x14ac:dyDescent="0.25">
      <c r="B5" s="4" t="s">
        <v>14</v>
      </c>
      <c r="C5" s="36">
        <v>3.7165299999999998E-2</v>
      </c>
      <c r="D5" s="36">
        <v>1.935918</v>
      </c>
      <c r="E5" s="37">
        <f t="shared" si="0"/>
        <v>7.1948973245399991E-2</v>
      </c>
    </row>
    <row r="6" spans="1:8" x14ac:dyDescent="0.25">
      <c r="B6" s="4" t="s">
        <v>9</v>
      </c>
      <c r="C6" s="36">
        <v>-2.7385900000000001E-2</v>
      </c>
      <c r="D6" s="36">
        <v>60.97193</v>
      </c>
      <c r="E6" s="37">
        <f t="shared" si="0"/>
        <v>-1.6697711777870001</v>
      </c>
    </row>
    <row r="7" spans="1:8" x14ac:dyDescent="0.25">
      <c r="B7" s="4" t="s">
        <v>41</v>
      </c>
      <c r="C7" s="36">
        <v>2.9925619999999999</v>
      </c>
      <c r="D7" s="38">
        <v>1</v>
      </c>
      <c r="E7" s="37">
        <f t="shared" si="0"/>
        <v>2.9925619999999999</v>
      </c>
    </row>
    <row r="8" spans="1:8" x14ac:dyDescent="0.25">
      <c r="B8" s="4" t="s">
        <v>36</v>
      </c>
      <c r="C8" s="5"/>
      <c r="D8" s="5"/>
      <c r="E8" s="37">
        <f>SUM(E3:E7)</f>
        <v>-0.50738025817760013</v>
      </c>
    </row>
    <row r="9" spans="1:8" x14ac:dyDescent="0.25">
      <c r="B9" s="6" t="s">
        <v>37</v>
      </c>
      <c r="C9" s="7"/>
      <c r="D9" s="7"/>
      <c r="E9" s="39">
        <f>1/(1+EXP(-E8))</f>
        <v>0.37580785467997901</v>
      </c>
    </row>
    <row r="11" spans="1:8" x14ac:dyDescent="0.25">
      <c r="A11" s="33"/>
      <c r="B11" s="35"/>
      <c r="C11" s="70" t="s">
        <v>38</v>
      </c>
      <c r="D11" s="70"/>
      <c r="E11" s="70"/>
      <c r="F11" s="70"/>
    </row>
    <row r="12" spans="1:8" x14ac:dyDescent="0.25">
      <c r="A12" s="34"/>
      <c r="B12" s="30">
        <f>E9</f>
        <v>0.37580785467997901</v>
      </c>
      <c r="C12" s="31">
        <v>5</v>
      </c>
      <c r="D12" s="31">
        <v>10</v>
      </c>
      <c r="E12" s="31">
        <v>12.19</v>
      </c>
      <c r="F12" s="31">
        <v>18</v>
      </c>
      <c r="G12" s="29"/>
    </row>
    <row r="13" spans="1:8" ht="15" customHeight="1" x14ac:dyDescent="0.25">
      <c r="A13" s="71" t="s">
        <v>31</v>
      </c>
      <c r="B13" s="31">
        <v>17</v>
      </c>
      <c r="C13" s="9">
        <f t="dataTable" ref="C13:F20" dt2D="1" dtr="1" r1="D4" r2="D3"/>
        <v>0.64981114855284006</v>
      </c>
      <c r="D13" s="9">
        <v>0.54600022749673183</v>
      </c>
      <c r="E13" s="61">
        <v>0.49864200545374082</v>
      </c>
      <c r="F13" s="61">
        <v>0.3753398863596431</v>
      </c>
      <c r="H13" s="12">
        <f>E13-E20</f>
        <v>0.30667979453099692</v>
      </c>
    </row>
    <row r="14" spans="1:8" x14ac:dyDescent="0.25">
      <c r="A14" s="71"/>
      <c r="B14" s="31">
        <v>28</v>
      </c>
      <c r="C14" s="9">
        <v>0.59781493644997596</v>
      </c>
      <c r="D14" s="9">
        <v>0.49067168139365419</v>
      </c>
      <c r="E14" s="9">
        <v>0.44342523764082215</v>
      </c>
      <c r="F14" s="9">
        <v>0.32492794033338923</v>
      </c>
    </row>
    <row r="15" spans="1:8" x14ac:dyDescent="0.25">
      <c r="A15" s="71"/>
      <c r="B15" s="31">
        <v>41.88</v>
      </c>
      <c r="C15" s="9">
        <v>0.52907884155930462</v>
      </c>
      <c r="D15" s="9">
        <v>0.42134859405450292</v>
      </c>
      <c r="E15" s="28">
        <v>0.37585144996602826</v>
      </c>
      <c r="F15" s="9">
        <v>0.26675717625195772</v>
      </c>
    </row>
    <row r="16" spans="1:8" x14ac:dyDescent="0.25">
      <c r="A16" s="71"/>
      <c r="B16" s="31">
        <v>48</v>
      </c>
      <c r="C16" s="9">
        <v>0.49825573094051051</v>
      </c>
      <c r="D16" s="9">
        <v>0.3915828569398625</v>
      </c>
      <c r="E16" s="9">
        <v>0.34737035529866561</v>
      </c>
      <c r="F16" s="9">
        <v>0.24332018205394995</v>
      </c>
    </row>
    <row r="17" spans="1:6" x14ac:dyDescent="0.25">
      <c r="A17" s="71"/>
      <c r="B17" s="31">
        <v>58</v>
      </c>
      <c r="C17" s="9">
        <v>0.44802589433709283</v>
      </c>
      <c r="D17" s="9">
        <v>0.34471853790856327</v>
      </c>
      <c r="E17" s="9">
        <v>0.30316080671346574</v>
      </c>
      <c r="F17" s="9">
        <v>0.2081298925287903</v>
      </c>
    </row>
    <row r="18" spans="1:6" x14ac:dyDescent="0.25">
      <c r="A18" s="71"/>
      <c r="B18" s="31">
        <v>68</v>
      </c>
      <c r="C18" s="9">
        <v>0.3988346492748101</v>
      </c>
      <c r="D18" s="9">
        <v>0.30069098753372042</v>
      </c>
      <c r="E18" s="9">
        <v>0.26231626572513089</v>
      </c>
      <c r="F18" s="9">
        <v>0.1768395951731461</v>
      </c>
    </row>
    <row r="19" spans="1:6" x14ac:dyDescent="0.25">
      <c r="A19" s="71"/>
      <c r="B19" s="31">
        <v>78</v>
      </c>
      <c r="C19" s="9">
        <v>0.35160399406317289</v>
      </c>
      <c r="D19" s="9">
        <v>0.26005502067893804</v>
      </c>
      <c r="E19" s="9">
        <v>0.2251962911214945</v>
      </c>
      <c r="F19" s="9">
        <v>0.14936616256023169</v>
      </c>
    </row>
    <row r="20" spans="1:6" x14ac:dyDescent="0.25">
      <c r="A20" s="71"/>
      <c r="B20" s="31">
        <v>88</v>
      </c>
      <c r="C20" s="9">
        <v>0.30710918336123594</v>
      </c>
      <c r="D20" s="9">
        <v>0.22315823198627199</v>
      </c>
      <c r="E20" s="9">
        <v>0.19196221092274393</v>
      </c>
      <c r="F20" s="9">
        <v>0.1255101556439211</v>
      </c>
    </row>
    <row r="21" spans="1:6" x14ac:dyDescent="0.25">
      <c r="B21" s="32"/>
    </row>
  </sheetData>
  <mergeCells count="2">
    <mergeCell ref="C11:F11"/>
    <mergeCell ref="A13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abSelected="1" workbookViewId="0">
      <selection activeCell="B12" sqref="B12"/>
    </sheetView>
  </sheetViews>
  <sheetFormatPr defaultRowHeight="15" x14ac:dyDescent="0.25"/>
  <cols>
    <col min="2" max="2" width="27.85546875" customWidth="1"/>
    <col min="5" max="5" width="13.28515625" customWidth="1"/>
    <col min="6" max="6" width="5.7109375" customWidth="1"/>
  </cols>
  <sheetData>
    <row r="2" spans="2:10" x14ac:dyDescent="0.25">
      <c r="H2" s="72" t="s">
        <v>31</v>
      </c>
      <c r="I2" s="72"/>
      <c r="J2" s="72"/>
    </row>
    <row r="3" spans="2:10" x14ac:dyDescent="0.25">
      <c r="B3" s="1" t="s">
        <v>39</v>
      </c>
      <c r="C3" s="2" t="s">
        <v>34</v>
      </c>
      <c r="D3" s="2" t="s">
        <v>2</v>
      </c>
      <c r="E3" s="3" t="s">
        <v>35</v>
      </c>
      <c r="H3" s="47" t="s">
        <v>44</v>
      </c>
      <c r="I3" s="47" t="s">
        <v>42</v>
      </c>
      <c r="J3" s="47" t="s">
        <v>43</v>
      </c>
    </row>
    <row r="4" spans="2:10" x14ac:dyDescent="0.25">
      <c r="B4" s="4" t="s">
        <v>109</v>
      </c>
      <c r="C4" s="36">
        <v>-1.2539E-2</v>
      </c>
      <c r="D4" s="36">
        <v>41.884140000000002</v>
      </c>
      <c r="E4" s="37">
        <f>D4*C4</f>
        <v>-0.52518523146000007</v>
      </c>
      <c r="G4" s="48">
        <f>E10</f>
        <v>0.37624432939858815</v>
      </c>
      <c r="H4" s="57">
        <f>I4-17.1</f>
        <v>24.78</v>
      </c>
      <c r="I4" s="58">
        <v>41.88</v>
      </c>
      <c r="J4" s="58">
        <f>I4+17.1</f>
        <v>58.980000000000004</v>
      </c>
    </row>
    <row r="5" spans="2:10" x14ac:dyDescent="0.25">
      <c r="B5" s="4" t="s">
        <v>110</v>
      </c>
      <c r="C5" s="36">
        <v>-5.3712999999999997E-2</v>
      </c>
      <c r="D5" s="36">
        <v>12.191179999999999</v>
      </c>
      <c r="E5" s="37">
        <f t="shared" ref="E5:E8" si="0">D5*C5</f>
        <v>-0.6548248513399999</v>
      </c>
      <c r="G5" s="59">
        <v>46</v>
      </c>
      <c r="H5" s="8">
        <f t="dataTable" ref="H5:J11" dt2D="1" dtr="1" r1="D4" r2="D7"/>
        <v>0.56028848586871616</v>
      </c>
      <c r="I5" s="8">
        <v>0.47499623680621461</v>
      </c>
      <c r="J5" s="8">
        <v>0.39083894203889691</v>
      </c>
    </row>
    <row r="6" spans="2:10" x14ac:dyDescent="0.25">
      <c r="B6" s="4" t="s">
        <v>111</v>
      </c>
      <c r="C6" s="36">
        <v>2.1489000000000001E-2</v>
      </c>
      <c r="D6" s="36">
        <v>1.935918</v>
      </c>
      <c r="E6" s="37">
        <f t="shared" si="0"/>
        <v>4.1600941902000005E-2</v>
      </c>
      <c r="G6" s="59">
        <v>51</v>
      </c>
      <c r="H6" s="8">
        <v>0.526846740230001</v>
      </c>
      <c r="I6" s="8">
        <v>0.44153789924568415</v>
      </c>
      <c r="J6" s="8">
        <v>0.35886728862812178</v>
      </c>
    </row>
    <row r="7" spans="2:10" x14ac:dyDescent="0.25">
      <c r="B7" s="4" t="s">
        <v>112</v>
      </c>
      <c r="C7" s="36">
        <v>-1.6871000000000001E-2</v>
      </c>
      <c r="D7" s="36">
        <v>60.97193</v>
      </c>
      <c r="E7" s="37">
        <f t="shared" si="0"/>
        <v>-1.0286574310300001</v>
      </c>
      <c r="G7" s="59">
        <v>56</v>
      </c>
      <c r="H7" s="8">
        <v>0.49321458651705369</v>
      </c>
      <c r="I7" s="8">
        <v>0.40849184501653935</v>
      </c>
      <c r="J7" s="8">
        <v>0.32785528245148005</v>
      </c>
    </row>
    <row r="8" spans="2:10" x14ac:dyDescent="0.25">
      <c r="B8" s="4" t="s">
        <v>40</v>
      </c>
      <c r="C8" s="36">
        <v>1.851707</v>
      </c>
      <c r="D8" s="38">
        <v>1</v>
      </c>
      <c r="E8" s="37">
        <f t="shared" si="0"/>
        <v>1.851707</v>
      </c>
      <c r="G8" s="59">
        <v>61</v>
      </c>
      <c r="H8" s="8">
        <v>0.45963062578754627</v>
      </c>
      <c r="I8" s="8">
        <v>0.3760842831994653</v>
      </c>
      <c r="J8" s="8">
        <v>0.29798728392066076</v>
      </c>
    </row>
    <row r="9" spans="2:10" x14ac:dyDescent="0.25">
      <c r="B9" s="4" t="s">
        <v>36</v>
      </c>
      <c r="C9" s="5"/>
      <c r="D9" s="5"/>
      <c r="E9" s="37">
        <f>SUM(E4:E8)</f>
        <v>-0.31535957192800024</v>
      </c>
      <c r="G9" s="59">
        <v>66</v>
      </c>
      <c r="H9" s="8">
        <v>0.42633243466493886</v>
      </c>
      <c r="I9" s="8">
        <v>0.34452809052246569</v>
      </c>
      <c r="J9" s="8">
        <v>0.2694249379888306</v>
      </c>
    </row>
    <row r="10" spans="2:10" x14ac:dyDescent="0.25">
      <c r="B10" s="6" t="s">
        <v>37</v>
      </c>
      <c r="C10" s="7"/>
      <c r="D10" s="7"/>
      <c r="E10" s="39">
        <f>_xlfn.NORM.S.DIST(E9,TRUE)</f>
        <v>0.37624432939858815</v>
      </c>
      <c r="G10" s="59">
        <v>71</v>
      </c>
      <c r="H10" s="8">
        <v>0.39355153532945425</v>
      </c>
      <c r="I10" s="8">
        <v>0.31401864364062526</v>
      </c>
      <c r="J10" s="8">
        <v>0.24230472335836084</v>
      </c>
    </row>
    <row r="11" spans="2:10" x14ac:dyDescent="0.25">
      <c r="G11" s="59">
        <v>77</v>
      </c>
      <c r="H11" s="8">
        <v>0.35520692630678319</v>
      </c>
      <c r="I11" s="8">
        <v>0.27903277692180528</v>
      </c>
      <c r="J11" s="8">
        <v>0.2118165445029756</v>
      </c>
    </row>
    <row r="13" spans="2:10" x14ac:dyDescent="0.25">
      <c r="B13" s="1" t="s">
        <v>39</v>
      </c>
      <c r="C13" s="2" t="s">
        <v>34</v>
      </c>
      <c r="D13" s="2" t="s">
        <v>2</v>
      </c>
      <c r="E13" s="3" t="s">
        <v>35</v>
      </c>
    </row>
    <row r="14" spans="2:10" x14ac:dyDescent="0.25">
      <c r="B14" s="4" t="s">
        <v>109</v>
      </c>
      <c r="C14" s="36">
        <v>-1.2539E-2</v>
      </c>
      <c r="D14" s="36">
        <v>41.884140000000002</v>
      </c>
      <c r="E14" s="37">
        <f>D14*C14</f>
        <v>-0.52518523146000007</v>
      </c>
    </row>
    <row r="15" spans="2:10" x14ac:dyDescent="0.25">
      <c r="B15" s="4" t="s">
        <v>110</v>
      </c>
      <c r="C15" s="36">
        <v>-5.3712999999999997E-2</v>
      </c>
      <c r="D15" s="36">
        <v>12.191179999999999</v>
      </c>
      <c r="E15" s="37">
        <f t="shared" ref="E15:E18" si="1">D15*C15</f>
        <v>-0.6548248513399999</v>
      </c>
    </row>
    <row r="16" spans="2:10" x14ac:dyDescent="0.25">
      <c r="B16" s="4" t="s">
        <v>111</v>
      </c>
      <c r="C16" s="36">
        <v>2.1489000000000001E-2</v>
      </c>
      <c r="D16" s="36">
        <v>1.935918</v>
      </c>
      <c r="E16" s="37">
        <f t="shared" si="1"/>
        <v>4.1600941902000005E-2</v>
      </c>
    </row>
    <row r="17" spans="2:5" x14ac:dyDescent="0.25">
      <c r="B17" s="4" t="s">
        <v>112</v>
      </c>
      <c r="C17" s="36">
        <v>-1.6871000000000001E-2</v>
      </c>
      <c r="D17" s="60">
        <v>77</v>
      </c>
      <c r="E17" s="37">
        <f t="shared" si="1"/>
        <v>-1.299067</v>
      </c>
    </row>
    <row r="18" spans="2:5" x14ac:dyDescent="0.25">
      <c r="B18" s="4" t="s">
        <v>40</v>
      </c>
      <c r="C18" s="36">
        <v>1.851707</v>
      </c>
      <c r="D18" s="38">
        <v>1</v>
      </c>
      <c r="E18" s="37">
        <f t="shared" si="1"/>
        <v>1.851707</v>
      </c>
    </row>
    <row r="19" spans="2:5" x14ac:dyDescent="0.25">
      <c r="B19" s="4" t="s">
        <v>36</v>
      </c>
      <c r="C19" s="5"/>
      <c r="D19" s="5"/>
      <c r="E19" s="37">
        <f>SUM(E14:E18)</f>
        <v>-0.58576914089800014</v>
      </c>
    </row>
    <row r="20" spans="2:5" x14ac:dyDescent="0.25">
      <c r="B20" s="6" t="s">
        <v>37</v>
      </c>
      <c r="C20" s="7"/>
      <c r="D20" s="7"/>
      <c r="E20" s="39">
        <f>_xlfn.NORM.S.DIST(E19,TRUE)</f>
        <v>0.27901533191434502</v>
      </c>
    </row>
    <row r="25" spans="2:5" x14ac:dyDescent="0.25">
      <c r="B25">
        <v>0.28170000000000001</v>
      </c>
    </row>
    <row r="26" spans="2:5" x14ac:dyDescent="0.25">
      <c r="B26">
        <f>B25+0.09545</f>
        <v>0.37714999999999999</v>
      </c>
      <c r="C26">
        <f>B26/B25</f>
        <v>1.3388356407525737</v>
      </c>
    </row>
    <row r="30" spans="2:5" x14ac:dyDescent="0.25">
      <c r="B30">
        <f>41/1180</f>
        <v>3.4745762711864407E-2</v>
      </c>
    </row>
    <row r="33" spans="5:5" x14ac:dyDescent="0.25">
      <c r="E33" s="49"/>
    </row>
  </sheetData>
  <mergeCells count="1">
    <mergeCell ref="H2:J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workbookViewId="0">
      <selection activeCell="H24" sqref="H24"/>
    </sheetView>
  </sheetViews>
  <sheetFormatPr defaultRowHeight="15" x14ac:dyDescent="0.25"/>
  <cols>
    <col min="2" max="5" width="17.5703125" customWidth="1"/>
  </cols>
  <sheetData>
    <row r="3" spans="2:6" x14ac:dyDescent="0.25">
      <c r="B3" s="1" t="s">
        <v>0</v>
      </c>
      <c r="C3" s="2" t="s">
        <v>58</v>
      </c>
      <c r="D3" s="2" t="s">
        <v>95</v>
      </c>
      <c r="E3" s="3" t="s">
        <v>65</v>
      </c>
      <c r="F3" t="s">
        <v>96</v>
      </c>
    </row>
    <row r="4" spans="2:6" x14ac:dyDescent="0.25">
      <c r="B4" s="4" t="s">
        <v>59</v>
      </c>
      <c r="C4" s="65" t="s">
        <v>97</v>
      </c>
      <c r="D4" s="65" t="s">
        <v>101</v>
      </c>
      <c r="E4" s="66" t="s">
        <v>102</v>
      </c>
      <c r="F4" t="s">
        <v>64</v>
      </c>
    </row>
    <row r="5" spans="2:6" x14ac:dyDescent="0.25">
      <c r="B5" s="4" t="s">
        <v>60</v>
      </c>
      <c r="C5" s="65" t="s">
        <v>98</v>
      </c>
      <c r="D5" s="65" t="s">
        <v>103</v>
      </c>
      <c r="E5" s="66" t="s">
        <v>104</v>
      </c>
      <c r="F5" t="s">
        <v>64</v>
      </c>
    </row>
    <row r="6" spans="2:6" x14ac:dyDescent="0.25">
      <c r="B6" s="4" t="s">
        <v>61</v>
      </c>
      <c r="C6" s="65" t="s">
        <v>99</v>
      </c>
      <c r="D6" s="65" t="s">
        <v>105</v>
      </c>
      <c r="E6" s="66" t="s">
        <v>106</v>
      </c>
      <c r="F6" t="s">
        <v>64</v>
      </c>
    </row>
    <row r="7" spans="2:6" x14ac:dyDescent="0.25">
      <c r="B7" s="6" t="s">
        <v>66</v>
      </c>
      <c r="C7" s="67" t="s">
        <v>100</v>
      </c>
      <c r="D7" s="67" t="s">
        <v>107</v>
      </c>
      <c r="E7" s="68" t="s">
        <v>108</v>
      </c>
      <c r="F7" t="s">
        <v>64</v>
      </c>
    </row>
    <row r="8" spans="2:6" x14ac:dyDescent="0.25">
      <c r="B8" s="62" t="s">
        <v>62</v>
      </c>
      <c r="C8" s="62" t="s">
        <v>63</v>
      </c>
      <c r="D8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workbookViewId="0">
      <selection activeCell="C39" sqref="C39"/>
    </sheetView>
  </sheetViews>
  <sheetFormatPr defaultRowHeight="15" x14ac:dyDescent="0.25"/>
  <cols>
    <col min="2" max="2" width="17.28515625" customWidth="1"/>
    <col min="3" max="3" width="53.42578125" customWidth="1"/>
    <col min="6" max="7" width="9.5703125" bestFit="1" customWidth="1"/>
  </cols>
  <sheetData>
    <row r="3" spans="2:9" x14ac:dyDescent="0.25">
      <c r="B3" t="s">
        <v>93</v>
      </c>
      <c r="C3" t="s">
        <v>94</v>
      </c>
    </row>
    <row r="4" spans="2:9" x14ac:dyDescent="0.25">
      <c r="B4" t="s">
        <v>67</v>
      </c>
      <c r="C4" t="s">
        <v>80</v>
      </c>
    </row>
    <row r="5" spans="2:9" x14ac:dyDescent="0.25">
      <c r="B5" t="s">
        <v>68</v>
      </c>
      <c r="C5" t="s">
        <v>81</v>
      </c>
      <c r="E5" t="s">
        <v>0</v>
      </c>
      <c r="F5" t="s">
        <v>2</v>
      </c>
      <c r="G5" t="s">
        <v>3</v>
      </c>
      <c r="H5" t="s">
        <v>4</v>
      </c>
      <c r="I5" t="s">
        <v>5</v>
      </c>
    </row>
    <row r="6" spans="2:9" x14ac:dyDescent="0.25">
      <c r="B6" t="s">
        <v>69</v>
      </c>
      <c r="C6" t="s">
        <v>82</v>
      </c>
      <c r="E6" t="s">
        <v>72</v>
      </c>
      <c r="F6" s="63">
        <v>0.77759250000000002</v>
      </c>
      <c r="G6" s="63">
        <v>0.4468761</v>
      </c>
      <c r="H6">
        <v>0</v>
      </c>
      <c r="I6">
        <v>2.5</v>
      </c>
    </row>
    <row r="7" spans="2:9" x14ac:dyDescent="0.25">
      <c r="B7" t="s">
        <v>70</v>
      </c>
      <c r="C7" t="s">
        <v>83</v>
      </c>
      <c r="E7" t="s">
        <v>74</v>
      </c>
      <c r="F7" s="63">
        <v>2.7100610000000001</v>
      </c>
      <c r="G7" s="63">
        <v>0.60425119999999999</v>
      </c>
      <c r="H7">
        <v>0</v>
      </c>
      <c r="I7">
        <v>6</v>
      </c>
    </row>
    <row r="8" spans="2:9" x14ac:dyDescent="0.25">
      <c r="B8" t="s">
        <v>71</v>
      </c>
      <c r="C8" t="s">
        <v>84</v>
      </c>
      <c r="E8" t="s">
        <v>73</v>
      </c>
      <c r="F8" s="63">
        <v>13.41117</v>
      </c>
      <c r="G8" s="63">
        <v>5.8639739999999998</v>
      </c>
      <c r="H8">
        <v>0.28000000000000003</v>
      </c>
      <c r="I8">
        <v>25</v>
      </c>
    </row>
    <row r="9" spans="2:9" x14ac:dyDescent="0.25">
      <c r="B9" t="s">
        <v>72</v>
      </c>
      <c r="C9" t="s">
        <v>85</v>
      </c>
      <c r="E9" t="s">
        <v>75</v>
      </c>
      <c r="F9" s="64">
        <v>1486.183</v>
      </c>
      <c r="G9" s="64">
        <v>1084.1030000000001</v>
      </c>
      <c r="H9">
        <v>0</v>
      </c>
      <c r="I9">
        <v>9971</v>
      </c>
    </row>
    <row r="10" spans="2:9" x14ac:dyDescent="0.25">
      <c r="B10" t="s">
        <v>73</v>
      </c>
      <c r="C10" t="s">
        <v>86</v>
      </c>
      <c r="E10" t="s">
        <v>76</v>
      </c>
      <c r="F10" s="64">
        <v>683.46040000000005</v>
      </c>
      <c r="G10" s="64">
        <v>674.68179999999995</v>
      </c>
      <c r="H10">
        <v>0</v>
      </c>
      <c r="I10">
        <v>6511</v>
      </c>
    </row>
    <row r="11" spans="2:9" x14ac:dyDescent="0.25">
      <c r="B11" t="s">
        <v>74</v>
      </c>
      <c r="C11" t="s">
        <v>87</v>
      </c>
    </row>
    <row r="12" spans="2:9" x14ac:dyDescent="0.25">
      <c r="B12" t="s">
        <v>75</v>
      </c>
      <c r="C12" t="s">
        <v>88</v>
      </c>
    </row>
    <row r="13" spans="2:9" x14ac:dyDescent="0.25">
      <c r="B13" t="s">
        <v>76</v>
      </c>
      <c r="C13" t="s">
        <v>89</v>
      </c>
    </row>
    <row r="14" spans="2:9" x14ac:dyDescent="0.25">
      <c r="B14" t="s">
        <v>77</v>
      </c>
      <c r="C14" t="s">
        <v>90</v>
      </c>
    </row>
    <row r="15" spans="2:9" x14ac:dyDescent="0.25">
      <c r="B15" t="s">
        <v>78</v>
      </c>
      <c r="C15" t="s">
        <v>91</v>
      </c>
    </row>
    <row r="16" spans="2:9" x14ac:dyDescent="0.25">
      <c r="B16" t="s">
        <v>79</v>
      </c>
      <c r="C16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5"/>
  <sheetViews>
    <sheetView workbookViewId="0">
      <selection activeCell="F30" sqref="F30"/>
    </sheetView>
  </sheetViews>
  <sheetFormatPr defaultRowHeight="15" x14ac:dyDescent="0.25"/>
  <cols>
    <col min="3" max="3" width="19.85546875" customWidth="1"/>
  </cols>
  <sheetData>
    <row r="2" spans="3:9" x14ac:dyDescent="0.25">
      <c r="C2" t="s">
        <v>47</v>
      </c>
      <c r="D2" t="s">
        <v>49</v>
      </c>
      <c r="E2" t="s">
        <v>48</v>
      </c>
      <c r="F2" t="s">
        <v>50</v>
      </c>
    </row>
    <row r="3" spans="3:9" x14ac:dyDescent="0.25">
      <c r="C3" t="s">
        <v>45</v>
      </c>
      <c r="D3" s="49">
        <v>1.8517065500000001</v>
      </c>
      <c r="E3" s="49">
        <v>2.9925617500000001</v>
      </c>
      <c r="F3" s="49">
        <v>1.1811428850000001</v>
      </c>
    </row>
    <row r="4" spans="3:9" x14ac:dyDescent="0.25">
      <c r="C4" t="s">
        <v>7</v>
      </c>
      <c r="D4" s="49">
        <v>-1.253933E-2</v>
      </c>
      <c r="E4" s="49">
        <v>-2.0167330000000001E-2</v>
      </c>
      <c r="F4" s="49">
        <v>-4.5750720000000003E-3</v>
      </c>
    </row>
    <row r="5" spans="3:9" x14ac:dyDescent="0.25">
      <c r="C5" t="s">
        <v>6</v>
      </c>
      <c r="D5" s="49">
        <v>-5.3712599999999999E-2</v>
      </c>
      <c r="E5" s="49">
        <v>-8.6737289999999995E-2</v>
      </c>
      <c r="F5" s="49">
        <v>-1.9666344999999998E-2</v>
      </c>
    </row>
    <row r="6" spans="3:9" x14ac:dyDescent="0.25">
      <c r="C6" t="s">
        <v>46</v>
      </c>
      <c r="D6" s="49">
        <v>2.1489299999999999E-2</v>
      </c>
      <c r="E6" s="49">
        <v>3.7165259999999999E-2</v>
      </c>
      <c r="F6" s="49">
        <v>7.9478919999999998E-3</v>
      </c>
    </row>
    <row r="7" spans="3:9" x14ac:dyDescent="0.25">
      <c r="C7" t="s">
        <v>9</v>
      </c>
      <c r="D7" s="49">
        <v>-1.6870619999999999E-2</v>
      </c>
      <c r="E7" s="49">
        <v>-2.738587E-2</v>
      </c>
      <c r="F7" s="49">
        <v>-6.3074949999999998E-3</v>
      </c>
    </row>
    <row r="13" spans="3:9" x14ac:dyDescent="0.25">
      <c r="D13" t="s">
        <v>51</v>
      </c>
    </row>
    <row r="14" spans="3:9" x14ac:dyDescent="0.25">
      <c r="D14" t="s">
        <v>52</v>
      </c>
      <c r="E14" s="51" t="s">
        <v>53</v>
      </c>
      <c r="F14" t="s">
        <v>54</v>
      </c>
      <c r="G14" t="s">
        <v>55</v>
      </c>
      <c r="H14" t="s">
        <v>56</v>
      </c>
      <c r="I14" t="s">
        <v>57</v>
      </c>
    </row>
    <row r="15" spans="3:9" x14ac:dyDescent="0.25">
      <c r="C15">
        <v>1.96</v>
      </c>
      <c r="D15" s="50">
        <f>_xlfn.NORM.S.DIST(C15,TRUE)</f>
        <v>0.97500210485177952</v>
      </c>
      <c r="E15" s="50">
        <f>1-D15</f>
        <v>2.4997895148220484E-2</v>
      </c>
      <c r="F15" s="52">
        <f>D15-E15</f>
        <v>0.95000420970355903</v>
      </c>
      <c r="G15">
        <f t="shared" ref="G15" si="0">_xlfn.T.DIST.2T(ABS(C15),1117)</f>
        <v>5.0244119394188068E-2</v>
      </c>
      <c r="H15" s="49">
        <f>_xlfn.T.DIST(ABS(C15),1117,TRUE)</f>
        <v>0.97487794030290598</v>
      </c>
      <c r="I15" s="49">
        <f>_xlfn.T.DIST.RT(ABS(C15),1117)</f>
        <v>2.5122059697094034E-2</v>
      </c>
    </row>
    <row r="16" spans="3:9" x14ac:dyDescent="0.25">
      <c r="C16">
        <v>-1.96</v>
      </c>
      <c r="D16" s="50">
        <f t="shared" ref="D16:D25" si="1">_xlfn.NORM.S.DIST(C16,TRUE)</f>
        <v>2.4997895148220432E-2</v>
      </c>
      <c r="E16" s="50">
        <f t="shared" ref="E16:E25" si="2">1-D16</f>
        <v>0.97500210485177952</v>
      </c>
      <c r="F16" s="52">
        <f t="shared" ref="F16:F25" si="3">D16-E16</f>
        <v>-0.95000420970355903</v>
      </c>
      <c r="G16">
        <f>_xlfn.T.DIST.2T(ABS(C16),1117)</f>
        <v>5.0244119394188068E-2</v>
      </c>
      <c r="H16" s="49">
        <f t="shared" ref="H16:H25" si="4">_xlfn.T.DIST(ABS(C16),1117,TRUE)</f>
        <v>0.97487794030290598</v>
      </c>
      <c r="I16" s="49">
        <f t="shared" ref="I16:I25" si="5">_xlfn.T.DIST.RT(ABS(C16),1117)</f>
        <v>2.5122059697094034E-2</v>
      </c>
    </row>
    <row r="17" spans="3:9" x14ac:dyDescent="0.25">
      <c r="C17">
        <v>1.64</v>
      </c>
      <c r="D17" s="50">
        <f t="shared" si="1"/>
        <v>0.94949741652589625</v>
      </c>
      <c r="E17" s="50">
        <f t="shared" si="2"/>
        <v>5.0502583474103746E-2</v>
      </c>
      <c r="F17" s="52">
        <f t="shared" si="3"/>
        <v>0.89899483305179251</v>
      </c>
      <c r="G17">
        <f t="shared" ref="G17:G25" si="6">_xlfn.T.DIST.2T(ABS(C17),1117)</f>
        <v>0.10128672788321853</v>
      </c>
      <c r="H17" s="49">
        <f t="shared" si="4"/>
        <v>0.94935663605839071</v>
      </c>
      <c r="I17" s="49">
        <f t="shared" si="5"/>
        <v>5.0643363941609267E-2</v>
      </c>
    </row>
    <row r="18" spans="3:9" x14ac:dyDescent="0.25">
      <c r="C18">
        <v>-1.64</v>
      </c>
      <c r="D18" s="50">
        <f t="shared" si="1"/>
        <v>5.0502583474103704E-2</v>
      </c>
      <c r="E18" s="50">
        <f t="shared" si="2"/>
        <v>0.94949741652589625</v>
      </c>
      <c r="F18" s="52">
        <f t="shared" si="3"/>
        <v>-0.89899483305179251</v>
      </c>
      <c r="G18">
        <f t="shared" si="6"/>
        <v>0.10128672788321853</v>
      </c>
      <c r="H18" s="49">
        <f t="shared" si="4"/>
        <v>0.94935663605839071</v>
      </c>
      <c r="I18" s="49">
        <f t="shared" si="5"/>
        <v>5.0643363941609267E-2</v>
      </c>
    </row>
    <row r="19" spans="3:9" x14ac:dyDescent="0.25">
      <c r="C19">
        <v>-5.3570000000000002</v>
      </c>
      <c r="D19" s="50">
        <f t="shared" si="1"/>
        <v>4.2307560277904717E-8</v>
      </c>
      <c r="E19" s="50">
        <f t="shared" si="2"/>
        <v>0.99999995769243977</v>
      </c>
      <c r="F19" s="52">
        <f t="shared" si="3"/>
        <v>-0.99999991538487953</v>
      </c>
      <c r="G19">
        <f t="shared" si="6"/>
        <v>1.0270337283621795E-7</v>
      </c>
      <c r="H19" s="49">
        <f t="shared" si="4"/>
        <v>0.99999994864831354</v>
      </c>
      <c r="I19" s="49">
        <f t="shared" si="5"/>
        <v>5.1351686418108977E-8</v>
      </c>
    </row>
    <row r="20" spans="3:9" x14ac:dyDescent="0.25">
      <c r="C20" s="53">
        <v>0.46899999999999997</v>
      </c>
      <c r="D20" s="54">
        <f t="shared" si="1"/>
        <v>0.68046518199067219</v>
      </c>
      <c r="E20" s="54">
        <f t="shared" si="2"/>
        <v>0.31953481800932781</v>
      </c>
      <c r="F20" s="55">
        <f t="shared" si="3"/>
        <v>0.36093036398134437</v>
      </c>
      <c r="G20" s="53">
        <f t="shared" si="6"/>
        <v>0.6391611575330397</v>
      </c>
      <c r="H20" s="56">
        <f t="shared" si="4"/>
        <v>0.6804194212334802</v>
      </c>
      <c r="I20" s="56">
        <f t="shared" si="5"/>
        <v>0.31958057876651985</v>
      </c>
    </row>
    <row r="21" spans="3:9" x14ac:dyDescent="0.25">
      <c r="C21">
        <v>-2.129</v>
      </c>
      <c r="D21" s="50">
        <f t="shared" si="1"/>
        <v>1.6627130201070473E-2</v>
      </c>
      <c r="E21" s="50">
        <f t="shared" si="2"/>
        <v>0.98337286979892957</v>
      </c>
      <c r="F21" s="52">
        <f t="shared" si="3"/>
        <v>-0.96674573959785914</v>
      </c>
      <c r="G21">
        <f t="shared" si="6"/>
        <v>3.3472536078404037E-2</v>
      </c>
      <c r="H21" s="49">
        <f t="shared" si="4"/>
        <v>0.98326373196079797</v>
      </c>
      <c r="I21" s="49">
        <f t="shared" si="5"/>
        <v>1.6736268039202019E-2</v>
      </c>
    </row>
    <row r="22" spans="3:9" x14ac:dyDescent="0.25">
      <c r="C22">
        <v>0.47</v>
      </c>
      <c r="D22" s="50">
        <f t="shared" si="1"/>
        <v>0.6808224912174442</v>
      </c>
      <c r="E22" s="50">
        <f t="shared" si="2"/>
        <v>0.3191775087825558</v>
      </c>
      <c r="F22" s="52">
        <f t="shared" si="3"/>
        <v>0.36164498243488841</v>
      </c>
      <c r="G22">
        <f t="shared" si="6"/>
        <v>0.6384467617207108</v>
      </c>
      <c r="H22" s="49">
        <f t="shared" si="4"/>
        <v>0.6807766191396446</v>
      </c>
      <c r="I22" s="49">
        <f t="shared" si="5"/>
        <v>0.3192233808603554</v>
      </c>
    </row>
    <row r="23" spans="3:9" x14ac:dyDescent="0.25">
      <c r="C23">
        <v>-0.95</v>
      </c>
      <c r="D23" s="50">
        <f t="shared" si="1"/>
        <v>0.17105612630848185</v>
      </c>
      <c r="E23" s="50">
        <f t="shared" si="2"/>
        <v>0.82894387369151812</v>
      </c>
      <c r="F23" s="52">
        <f t="shared" si="3"/>
        <v>-0.65788774738303624</v>
      </c>
      <c r="G23">
        <f t="shared" si="6"/>
        <v>0.34231774986635755</v>
      </c>
      <c r="H23" s="49">
        <f t="shared" si="4"/>
        <v>0.82884112506682128</v>
      </c>
      <c r="I23" s="49">
        <f t="shared" si="5"/>
        <v>0.17115887493317877</v>
      </c>
    </row>
    <row r="24" spans="3:9" x14ac:dyDescent="0.25">
      <c r="C24">
        <v>0.54200000000000004</v>
      </c>
      <c r="D24" s="50">
        <f t="shared" si="1"/>
        <v>0.70609074705838337</v>
      </c>
      <c r="E24" s="50">
        <f t="shared" si="2"/>
        <v>0.29390925294161663</v>
      </c>
      <c r="F24" s="52">
        <f t="shared" si="3"/>
        <v>0.41218149411676674</v>
      </c>
      <c r="G24">
        <f t="shared" si="6"/>
        <v>0.58792660660355067</v>
      </c>
      <c r="H24" s="49">
        <f t="shared" si="4"/>
        <v>0.70603669669822466</v>
      </c>
      <c r="I24" s="49">
        <f t="shared" si="5"/>
        <v>0.29396330330177534</v>
      </c>
    </row>
    <row r="25" spans="3:9" x14ac:dyDescent="0.25">
      <c r="C25">
        <v>0.46899999999999997</v>
      </c>
      <c r="D25" s="50">
        <f t="shared" si="1"/>
        <v>0.68046518199067219</v>
      </c>
      <c r="E25" s="50">
        <f t="shared" si="2"/>
        <v>0.31953481800932781</v>
      </c>
      <c r="F25" s="52">
        <f t="shared" si="3"/>
        <v>0.36093036398134437</v>
      </c>
      <c r="G25">
        <f t="shared" si="6"/>
        <v>0.6391611575330397</v>
      </c>
      <c r="H25" s="49">
        <f t="shared" si="4"/>
        <v>0.6804194212334802</v>
      </c>
      <c r="I25" s="49">
        <f t="shared" si="5"/>
        <v>0.31958057876651985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OLS</vt:lpstr>
      <vt:lpstr>Logit</vt:lpstr>
      <vt:lpstr>Probit</vt:lpstr>
      <vt:lpstr>mortgage</vt:lpstr>
      <vt:lpstr>grouped</vt:lpstr>
      <vt:lpstr>Sheet1</vt:lpstr>
    </vt:vector>
  </TitlesOfParts>
  <Company>Ryerson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Regionomics</dc:creator>
  <cp:lastModifiedBy>Regionomics</cp:lastModifiedBy>
  <dcterms:created xsi:type="dcterms:W3CDTF">2011-12-23T17:12:48Z</dcterms:created>
  <dcterms:modified xsi:type="dcterms:W3CDTF">2015-01-05T15:33:46Z</dcterms:modified>
</cp:coreProperties>
</file>