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D:\New folder\Competitions\Sandbox 2022\"/>
    </mc:Choice>
  </mc:AlternateContent>
  <xr:revisionPtr revIDLastSave="0" documentId="13_ncr:1_{A191C1F8-9D49-4370-A9C9-5BDA8DFEC9D5}" xr6:coauthVersionLast="47" xr6:coauthVersionMax="47" xr10:uidLastSave="{00000000-0000-0000-0000-000000000000}"/>
  <bookViews>
    <workbookView xWindow="-110" yWindow="-110" windowWidth="19420" windowHeight="10300" xr2:uid="{B600BA37-737C-4742-B11F-240C6DE69BE3}"/>
  </bookViews>
  <sheets>
    <sheet name="Tính toán" sheetId="1" r:id="rId1"/>
  </sheets>
  <calcPr calcId="181029"/>
  <extLst>
    <ext xmlns:x15="http://schemas.microsoft.com/office/spreadsheetml/2010/11/main" uri="{140A7094-0E35-4892-8432-C4D2E57EDEB5}">
      <x15:workbookPr chartTrackingRefBase="1"/>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E151" i="1" l="1"/>
  <c r="G130" i="1"/>
  <c r="G131" i="1"/>
  <c r="G132" i="1"/>
  <c r="G133" i="1"/>
  <c r="G134" i="1"/>
  <c r="G135" i="1"/>
  <c r="G136" i="1"/>
  <c r="D125" i="1"/>
  <c r="D126" i="1"/>
  <c r="D127" i="1"/>
  <c r="D128" i="1"/>
  <c r="D129" i="1"/>
  <c r="D130" i="1"/>
  <c r="F130" i="1" s="1"/>
  <c r="D131" i="1"/>
  <c r="F131" i="1" s="1"/>
  <c r="D132" i="1"/>
  <c r="F132" i="1" s="1"/>
  <c r="D133" i="1"/>
  <c r="F133" i="1" s="1"/>
  <c r="D134" i="1"/>
  <c r="F134" i="1" s="1"/>
  <c r="D135" i="1"/>
  <c r="F135" i="1" s="1"/>
  <c r="D136" i="1"/>
  <c r="F136" i="1" s="1"/>
  <c r="D124" i="1"/>
  <c r="M55" i="1"/>
  <c r="M54" i="1"/>
  <c r="M53" i="1"/>
  <c r="J59" i="1"/>
  <c r="J53" i="1"/>
  <c r="C46" i="1"/>
  <c r="D46" i="1"/>
  <c r="E46" i="1"/>
  <c r="E17" i="1"/>
  <c r="D17" i="1" s="1"/>
  <c r="C17" i="1" s="1"/>
  <c r="G17" i="1"/>
  <c r="H17" i="1" s="1"/>
  <c r="P23" i="1"/>
  <c r="D12" i="1"/>
  <c r="P24" i="1"/>
  <c r="E156" i="1"/>
  <c r="E157" i="1"/>
  <c r="E155" i="1"/>
  <c r="E147" i="1" s="1"/>
  <c r="J136" i="1"/>
  <c r="L136" i="1" s="1"/>
  <c r="J131" i="1"/>
  <c r="L131" i="1" s="1"/>
  <c r="J132" i="1"/>
  <c r="L132" i="1" s="1"/>
  <c r="J133" i="1"/>
  <c r="J134" i="1"/>
  <c r="J135" i="1"/>
  <c r="J130" i="1"/>
  <c r="J60" i="1"/>
  <c r="F45" i="1"/>
  <c r="L60" i="1"/>
  <c r="L59" i="1"/>
  <c r="K60" i="1"/>
  <c r="K59" i="1"/>
  <c r="K55" i="1"/>
  <c r="L55" i="1"/>
  <c r="J55" i="1"/>
  <c r="K54" i="1"/>
  <c r="L54" i="1"/>
  <c r="J54" i="1"/>
  <c r="K53" i="1"/>
  <c r="L53" i="1"/>
  <c r="D84" i="1" l="1"/>
  <c r="E84" i="1"/>
  <c r="E85" i="1"/>
  <c r="C84" i="1"/>
  <c r="D85" i="1"/>
  <c r="C85" i="1"/>
  <c r="F18" i="1"/>
  <c r="E18" i="1" s="1"/>
  <c r="M132" i="1"/>
  <c r="N132" i="1"/>
  <c r="K135" i="1"/>
  <c r="L135" i="1"/>
  <c r="K130" i="1"/>
  <c r="L130" i="1"/>
  <c r="N131" i="1"/>
  <c r="M131" i="1"/>
  <c r="K133" i="1"/>
  <c r="L133" i="1"/>
  <c r="K134" i="1"/>
  <c r="L134" i="1"/>
  <c r="N136" i="1"/>
  <c r="M136" i="1"/>
  <c r="K132" i="1"/>
  <c r="K131" i="1"/>
  <c r="K136" i="1"/>
  <c r="J61" i="1"/>
  <c r="C86" i="1" s="1"/>
  <c r="L61" i="1"/>
  <c r="E86" i="1" s="1"/>
  <c r="K61" i="1"/>
  <c r="D86" i="1" s="1"/>
  <c r="I17" i="1"/>
  <c r="J17" i="1" s="1"/>
  <c r="K17" i="1" s="1"/>
  <c r="L17" i="1" s="1"/>
  <c r="M17" i="1" s="1"/>
  <c r="N17" i="1" s="1"/>
  <c r="G18" i="1" l="1"/>
  <c r="H18" i="1" s="1"/>
  <c r="I18" i="1" s="1"/>
  <c r="J18" i="1" s="1"/>
  <c r="K18" i="1" s="1"/>
  <c r="L18" i="1" s="1"/>
  <c r="M18" i="1" s="1"/>
  <c r="N18" i="1" s="1"/>
  <c r="O17" i="1"/>
  <c r="H12" i="1" s="1"/>
  <c r="D18" i="1"/>
  <c r="C18" i="1" s="1"/>
  <c r="P131" i="1"/>
  <c r="O131" i="1"/>
  <c r="P136" i="1"/>
  <c r="O136" i="1"/>
  <c r="N130" i="1"/>
  <c r="M130" i="1"/>
  <c r="N134" i="1"/>
  <c r="M134" i="1"/>
  <c r="N135" i="1"/>
  <c r="M135" i="1"/>
  <c r="M133" i="1"/>
  <c r="N133" i="1"/>
  <c r="O132" i="1"/>
  <c r="P132" i="1"/>
  <c r="F12" i="1" l="1"/>
  <c r="O18" i="1"/>
  <c r="K12" i="1" s="1"/>
  <c r="R136" i="1"/>
  <c r="Q136" i="1"/>
  <c r="R132" i="1"/>
  <c r="Q132" i="1"/>
  <c r="P130" i="1"/>
  <c r="O130" i="1"/>
  <c r="O133" i="1"/>
  <c r="P133" i="1"/>
  <c r="P134" i="1"/>
  <c r="O134" i="1"/>
  <c r="P135" i="1"/>
  <c r="O135" i="1"/>
  <c r="R131" i="1"/>
  <c r="Q131" i="1"/>
  <c r="C23" i="1" l="1"/>
  <c r="C24" i="1"/>
  <c r="D24" i="1" s="1"/>
  <c r="E24" i="1" s="1"/>
  <c r="O19" i="1"/>
  <c r="R130" i="1"/>
  <c r="Q130" i="1"/>
  <c r="T132" i="1"/>
  <c r="U132" i="1" s="1"/>
  <c r="S132" i="1"/>
  <c r="Q133" i="1"/>
  <c r="R133" i="1"/>
  <c r="T131" i="1"/>
  <c r="U131" i="1" s="1"/>
  <c r="S131" i="1"/>
  <c r="R135" i="1"/>
  <c r="Q135" i="1"/>
  <c r="R134" i="1"/>
  <c r="Q134" i="1"/>
  <c r="T136" i="1"/>
  <c r="U136" i="1" s="1"/>
  <c r="S136" i="1"/>
  <c r="D41" i="1" l="1"/>
  <c r="D23" i="1"/>
  <c r="E23" i="1" s="1"/>
  <c r="O24" i="1"/>
  <c r="F24" i="1" s="1"/>
  <c r="T133" i="1"/>
  <c r="U133" i="1" s="1"/>
  <c r="S133" i="1"/>
  <c r="T134" i="1"/>
  <c r="U134" i="1" s="1"/>
  <c r="S134" i="1"/>
  <c r="T135" i="1"/>
  <c r="U135" i="1" s="1"/>
  <c r="S135" i="1"/>
  <c r="T130" i="1"/>
  <c r="U130" i="1" s="1"/>
  <c r="S130" i="1"/>
  <c r="C45" i="1" l="1"/>
  <c r="D45" i="1"/>
  <c r="G76" i="1" s="1"/>
  <c r="G45" i="1"/>
  <c r="E80" i="1"/>
  <c r="C96" i="1" s="1"/>
  <c r="G29" i="1"/>
  <c r="E45" i="1"/>
  <c r="I75" i="1" s="1"/>
  <c r="E79" i="1" l="1"/>
  <c r="E77" i="1"/>
  <c r="E76" i="1"/>
  <c r="C47" i="1"/>
  <c r="E75" i="1"/>
  <c r="E78" i="1"/>
  <c r="C95" i="1" s="1"/>
  <c r="G24" i="1"/>
  <c r="H24" i="1" s="1"/>
  <c r="G75" i="1"/>
  <c r="D94" i="1" s="1"/>
  <c r="G77" i="1"/>
  <c r="G78" i="1"/>
  <c r="G79" i="1"/>
  <c r="G80" i="1"/>
  <c r="D96" i="1" s="1"/>
  <c r="D47" i="1"/>
  <c r="I79" i="1"/>
  <c r="I78" i="1"/>
  <c r="I76" i="1"/>
  <c r="E94" i="1" s="1"/>
  <c r="I77" i="1"/>
  <c r="E47" i="1"/>
  <c r="I80" i="1"/>
  <c r="E96" i="1" s="1"/>
  <c r="F47" i="1" l="1"/>
  <c r="F46" i="1" s="1"/>
  <c r="P62" i="1" s="1"/>
  <c r="C94" i="1"/>
  <c r="G30" i="1"/>
  <c r="E95" i="1"/>
  <c r="D95" i="1"/>
  <c r="G31" i="1"/>
  <c r="I24" i="1"/>
  <c r="G32" i="1" l="1"/>
  <c r="G47" i="1"/>
  <c r="G46" i="1" s="1"/>
  <c r="H47" i="1"/>
  <c r="J24" i="1"/>
  <c r="K24" i="1" s="1"/>
  <c r="L24" i="1" s="1"/>
  <c r="M24" i="1" s="1"/>
  <c r="N24" i="1" s="1"/>
  <c r="O23" i="1" l="1"/>
  <c r="F23" i="1" s="1"/>
  <c r="C29" i="1" s="1"/>
  <c r="G23" i="1" l="1"/>
  <c r="C30" i="1" s="1"/>
  <c r="D30" i="1" s="1"/>
  <c r="H29" i="1"/>
  <c r="E29" i="1"/>
  <c r="D29" i="1"/>
  <c r="K75" i="1" l="1"/>
  <c r="D114" i="1" s="1"/>
  <c r="M61" i="1"/>
  <c r="F86" i="1" s="1"/>
  <c r="M59" i="1"/>
  <c r="F84" i="1" s="1"/>
  <c r="M60" i="1"/>
  <c r="F85" i="1" s="1"/>
  <c r="H23" i="1"/>
  <c r="C31" i="1" s="1"/>
  <c r="E31" i="1" s="1"/>
  <c r="H30" i="1"/>
  <c r="E30" i="1"/>
  <c r="F30" i="1" s="1"/>
  <c r="F29" i="1"/>
  <c r="K80" i="1"/>
  <c r="K78" i="1"/>
  <c r="D117" i="1" s="1"/>
  <c r="K77" i="1"/>
  <c r="K76" i="1"/>
  <c r="D115" i="1" s="1"/>
  <c r="K79" i="1"/>
  <c r="D118" i="1" s="1"/>
  <c r="E124" i="1" l="1"/>
  <c r="E125" i="1"/>
  <c r="E128" i="1"/>
  <c r="E127" i="1"/>
  <c r="I23" i="1"/>
  <c r="J23" i="1" s="1"/>
  <c r="K23" i="1" s="1"/>
  <c r="L23" i="1" s="1"/>
  <c r="M23" i="1" s="1"/>
  <c r="N23" i="1" s="1"/>
  <c r="T128" i="1" s="1"/>
  <c r="E32" i="1"/>
  <c r="C32" i="1"/>
  <c r="H31" i="1"/>
  <c r="H32" i="1" s="1"/>
  <c r="H45" i="1" s="1"/>
  <c r="H46" i="1" s="1"/>
  <c r="P63" i="1" s="1"/>
  <c r="D31" i="1"/>
  <c r="F96" i="1"/>
  <c r="C102" i="1" s="1"/>
  <c r="D119" i="1"/>
  <c r="F94" i="1"/>
  <c r="C100" i="1" s="1"/>
  <c r="D116" i="1"/>
  <c r="F95" i="1"/>
  <c r="C101" i="1" s="1"/>
  <c r="R128" i="1" l="1"/>
  <c r="N128" i="1"/>
  <c r="J125" i="1"/>
  <c r="J128" i="1"/>
  <c r="N127" i="1"/>
  <c r="L127" i="1"/>
  <c r="O127" i="1" s="1"/>
  <c r="P128" i="1"/>
  <c r="S128" i="1" s="1"/>
  <c r="N125" i="1"/>
  <c r="P125" i="1"/>
  <c r="T125" i="1"/>
  <c r="L125" i="1"/>
  <c r="M125" i="1" s="1"/>
  <c r="F127" i="1"/>
  <c r="G127" i="1"/>
  <c r="H128" i="1"/>
  <c r="I128" i="1" s="1"/>
  <c r="F125" i="1"/>
  <c r="G125" i="1"/>
  <c r="T126" i="1"/>
  <c r="E126" i="1"/>
  <c r="H126" i="1"/>
  <c r="E129" i="1"/>
  <c r="H129" i="1"/>
  <c r="I129" i="1" s="1"/>
  <c r="H125" i="1"/>
  <c r="I125" i="1" s="1"/>
  <c r="G124" i="1"/>
  <c r="F124" i="1"/>
  <c r="J124" i="1"/>
  <c r="F128" i="1"/>
  <c r="G128" i="1"/>
  <c r="H127" i="1"/>
  <c r="I127" i="1" s="1"/>
  <c r="H124" i="1"/>
  <c r="I124" i="1" s="1"/>
  <c r="J127" i="1"/>
  <c r="T129" i="1"/>
  <c r="T127" i="1"/>
  <c r="T124" i="1"/>
  <c r="P127" i="1"/>
  <c r="R125" i="1"/>
  <c r="L128" i="1"/>
  <c r="O128" i="1" s="1"/>
  <c r="R127" i="1"/>
  <c r="U128" i="1"/>
  <c r="F31" i="1"/>
  <c r="F32" i="1" s="1"/>
  <c r="D32" i="1"/>
  <c r="C103" i="1"/>
  <c r="J126" i="1"/>
  <c r="N126" i="1"/>
  <c r="L126" i="1"/>
  <c r="R126" i="1"/>
  <c r="P126" i="1"/>
  <c r="L129" i="1"/>
  <c r="P129" i="1"/>
  <c r="N129" i="1"/>
  <c r="J129" i="1"/>
  <c r="R129" i="1"/>
  <c r="L124" i="1"/>
  <c r="P124" i="1"/>
  <c r="N124" i="1"/>
  <c r="R124" i="1"/>
  <c r="K124" i="1" l="1"/>
  <c r="Q125" i="1"/>
  <c r="M127" i="1"/>
  <c r="Q128" i="1"/>
  <c r="K127" i="1"/>
  <c r="Q127" i="1"/>
  <c r="U125" i="1"/>
  <c r="K126" i="1"/>
  <c r="O125" i="1"/>
  <c r="U124" i="1"/>
  <c r="K125" i="1"/>
  <c r="F126" i="1"/>
  <c r="G126" i="1"/>
  <c r="K128" i="1"/>
  <c r="F129" i="1"/>
  <c r="G129" i="1"/>
  <c r="K129" i="1"/>
  <c r="I126" i="1"/>
  <c r="S125" i="1"/>
  <c r="T137" i="1"/>
  <c r="U127" i="1"/>
  <c r="M128" i="1"/>
  <c r="S127" i="1"/>
  <c r="S126" i="1"/>
  <c r="S129" i="1"/>
  <c r="M126" i="1"/>
  <c r="M129" i="1"/>
  <c r="Q129" i="1"/>
  <c r="U129" i="1"/>
  <c r="Q126" i="1"/>
  <c r="J137" i="1"/>
  <c r="M124" i="1"/>
  <c r="L137" i="1"/>
  <c r="O129" i="1"/>
  <c r="O126" i="1"/>
  <c r="S124" i="1"/>
  <c r="R137" i="1"/>
  <c r="O124" i="1"/>
  <c r="N137" i="1"/>
  <c r="U126" i="1"/>
  <c r="P137" i="1"/>
  <c r="Q124" i="1"/>
  <c r="K137" i="1" l="1"/>
  <c r="S137" i="1"/>
  <c r="Q137" i="1"/>
  <c r="U137" i="1"/>
  <c r="M137" i="1"/>
  <c r="O137" i="1"/>
  <c r="E149" i="1" l="1"/>
  <c r="D156" i="1" s="1"/>
  <c r="D157" i="1" l="1"/>
  <c r="D155" i="1"/>
</calcChain>
</file>

<file path=xl/sharedStrings.xml><?xml version="1.0" encoding="utf-8"?>
<sst xmlns="http://schemas.openxmlformats.org/spreadsheetml/2006/main" count="295" uniqueCount="137">
  <si>
    <t>Tỷ lệ khách nội địa / quốc tế</t>
  </si>
  <si>
    <t>Tỷ lệ khách đến Aluxury/ VN</t>
  </si>
  <si>
    <t>Giả định:</t>
  </si>
  <si>
    <t>Tháng 4</t>
  </si>
  <si>
    <t>Tháng 5</t>
  </si>
  <si>
    <t>Tháng 6</t>
  </si>
  <si>
    <t>Quốc tế</t>
  </si>
  <si>
    <t>Nội địa</t>
  </si>
  <si>
    <t>Châu Á</t>
  </si>
  <si>
    <t>Châu Âu</t>
  </si>
  <si>
    <t>Châu Mỹ</t>
  </si>
  <si>
    <t>Bộ phận</t>
  </si>
  <si>
    <t>Lễ tân</t>
  </si>
  <si>
    <t>Buồng</t>
  </si>
  <si>
    <t>Nhà hàng</t>
  </si>
  <si>
    <t>Bar</t>
  </si>
  <si>
    <t>Bếp</t>
  </si>
  <si>
    <t>Thể thao &amp; Giải trí</t>
  </si>
  <si>
    <t>Kỹ thuật</t>
  </si>
  <si>
    <t>An ninh</t>
  </si>
  <si>
    <t>Nhân sự</t>
  </si>
  <si>
    <t>Marketing</t>
  </si>
  <si>
    <t>Sales</t>
  </si>
  <si>
    <t>Tài chính - Kế toán</t>
  </si>
  <si>
    <t>Văn phòng TGD</t>
  </si>
  <si>
    <t>Tổng số lao động (người)</t>
  </si>
  <si>
    <t>Nhóm</t>
  </si>
  <si>
    <t>Lưu trú</t>
  </si>
  <si>
    <t>Ăn uống</t>
  </si>
  <si>
    <t>Bổ sung</t>
  </si>
  <si>
    <t>Doanh thu</t>
  </si>
  <si>
    <t>(tỷ)</t>
  </si>
  <si>
    <t>Q2 - 2022</t>
  </si>
  <si>
    <t>Lượng khách (nghìn)</t>
  </si>
  <si>
    <t>Doanh thu/Khách</t>
  </si>
  <si>
    <t>Q2-2022</t>
  </si>
  <si>
    <t>Doanh thu (nghìn)</t>
  </si>
  <si>
    <t>Dự đoán còn lại</t>
  </si>
  <si>
    <t>Turnover Rate</t>
  </si>
  <si>
    <t>Lượng sinh viên ra trường - người/năm</t>
  </si>
  <si>
    <t>Lượng nhân sự năm 2018</t>
  </si>
  <si>
    <t>Được đào tạo</t>
  </si>
  <si>
    <t>Chuyển từ ngành khác</t>
  </si>
  <si>
    <t>Số lao động toàn ngành cần thêm - lao động/năm</t>
  </si>
  <si>
    <t>Chưa được đào tạo chính quy</t>
  </si>
  <si>
    <t>Tỷ lệ</t>
  </si>
  <si>
    <t>Nhu cầu của công ty</t>
  </si>
  <si>
    <t>Nhu cầu của ngành</t>
  </si>
  <si>
    <t>Tỷ lệ cung/nhu cầu (Supply–Demand Ratio) của phân khúc đã đào tạo</t>
  </si>
  <si>
    <t>Phân loại mức độ yêu cầu chuyên môn</t>
  </si>
  <si>
    <t>Giải thích ngắn</t>
  </si>
  <si>
    <t>Cao</t>
  </si>
  <si>
    <t>Cần kỹ năng dịch vụ, giao tiếp đa ngôn ngữ, xử lý đặt phòng, hệ thống PMS, tiêu chuẩn dịch vụ quốc tế.</t>
  </si>
  <si>
    <t>Trung bình</t>
  </si>
  <si>
    <t>Tiêu chuẩn vệ sinh, setup phòng, quy trình an toàn; có thể đào tạo nhanh nhưng cần kỷ luật và chi tiết.</t>
  </si>
  <si>
    <t>Quy tắc phục vụ, set bàn, quy trình order; dễ đào tạo người mới nhưng cần service mindset.</t>
  </si>
  <si>
    <t>Kỹ thuật pha chế, kiến thức rượu, tiêu chuẩn vệ sinh; khó nếu tuyển chưa từng làm F&amp;B.</t>
  </si>
  <si>
    <t>Kỹ năng nấu ăn, kiến thức nguyên liệu, an toàn thực phẩm; nhiều vị trí cần bằng cấp nghề.</t>
  </si>
  <si>
    <t>Trung bình–Cao</t>
  </si>
  <si>
    <t>Tùy dịch vụ (gym, spa, pool…); spa trị liệu cần chứng chỉ, còn hỗ trợ pool/gym có thể đào tạo nhanh.</t>
  </si>
  <si>
    <t>Bảo trì thiết bị, điện, nước, điều hòa; yêu cầu chứng chỉ kỹ thuật và kinh nghiệm.</t>
  </si>
  <si>
    <t>Thấp–Trung bình</t>
  </si>
  <si>
    <t>Kiến thức an toàn, PCCC; có thể đào tạo nội bộ ngắn hạn + yêu cầu lý lịch rõ ràng.</t>
  </si>
  <si>
    <t>Cao (ngành quản trị nhân sự)</t>
  </si>
  <si>
    <t>Tuyển dụng, chấm công, luật lao động; không nhất thiết ngành KS nhưng cần chuyên môn HR.</t>
  </si>
  <si>
    <t>Không nhất thiết ngành KS nhưng cần hiểu sản phẩm/dịch vụ; kỹ năng digital, content, quan hệ báo chí.</t>
  </si>
  <si>
    <t>Kỹ năng bán dịch vụ KS, hiểu sản phẩm, quan hệ khách hàng; ưu tiên đã từng làm sales ngành du lịch/KS.</t>
  </si>
  <si>
    <t>Tài chính – Kế toán</t>
  </si>
  <si>
    <t>Chuyên môn kế toán/finance; không nhất thiết ngành KS nhưng cần bằng cấp, chứng chỉ.</t>
  </si>
  <si>
    <t>Hành chính, thư ký; có thể tuyển chuyển ngành và đào tạo nhanh quy trình nội bộ.</t>
  </si>
  <si>
    <t>Phải ưu tiên nguồn đã đào tạo hoặc ngành gần</t>
  </si>
  <si>
    <t>Có thể tuyển chưa đào tạo và đào tạo nội bộ nhanh</t>
  </si>
  <si>
    <t>Cách tiếp cận</t>
  </si>
  <si>
    <t>Chuyên môn</t>
  </si>
  <si>
    <t>Q1-2022</t>
  </si>
  <si>
    <t>1. Market Forcasting</t>
  </si>
  <si>
    <t>Tổng</t>
  </si>
  <si>
    <t>Tháng 1</t>
  </si>
  <si>
    <t>Tháng 2</t>
  </si>
  <si>
    <t>Tháng 3</t>
  </si>
  <si>
    <t>Tháng 7</t>
  </si>
  <si>
    <t>Tháng 8</t>
  </si>
  <si>
    <t>Tháng 9</t>
  </si>
  <si>
    <t>Tháng 10</t>
  </si>
  <si>
    <t>Tháng 11</t>
  </si>
  <si>
    <t>Tháng 12</t>
  </si>
  <si>
    <t>- Sau quý 2, mỗi tháng sẽ tăng trưởng 30% dự trên cơ sở "sự phục hồi" + Tác động tích cực của Sea Game 31 của ngành du lịch</t>
  </si>
  <si>
    <t>- Có sự tương đồng trong sự biến động của 3 biến: thị trường khách hàng tại VN, tại Hà Nội và khách sạn</t>
  </si>
  <si>
    <t>Tổng (trừ 3 tháng đầu)</t>
  </si>
  <si>
    <r>
      <t>Dự kiến có bao nhiêu khách hàng đến Việt Nam trong 12 tháng năm 2022?</t>
    </r>
    <r>
      <rPr>
        <i/>
        <sz val="11"/>
        <color theme="1"/>
        <rFont val="Arial"/>
        <family val="2"/>
        <charset val="163"/>
        <scheme val="minor"/>
      </rPr>
      <t xml:space="preserve"> (đơn vị: nghìn người)</t>
    </r>
  </si>
  <si>
    <r>
      <t xml:space="preserve">Dự kiến có bao nhiêu khách hàng đến Aluxury Hà Nội trong 12 tháng năm 2022? </t>
    </r>
    <r>
      <rPr>
        <i/>
        <sz val="11"/>
        <color theme="1"/>
        <rFont val="Arial"/>
        <family val="2"/>
        <charset val="163"/>
        <scheme val="minor"/>
      </rPr>
      <t xml:space="preserve"> (đơn vị: nghìn người)</t>
    </r>
  </si>
  <si>
    <r>
      <t xml:space="preserve">Dự kiến có bao nhiêu khách hàng (theo từng loại) đến Aluxury Hà Nội theo từng tháng trong quý 2 năm 2022? </t>
    </r>
    <r>
      <rPr>
        <i/>
        <sz val="11"/>
        <color theme="1"/>
        <rFont val="Arial"/>
        <family val="2"/>
        <charset val="163"/>
        <scheme val="minor"/>
      </rPr>
      <t xml:space="preserve"> (đơn vị: nghìn người)</t>
    </r>
  </si>
  <si>
    <t>Phương pháp:</t>
  </si>
  <si>
    <t>Các chỉ số được sử dụng:</t>
  </si>
  <si>
    <t>Tỷ lệ khách quốc tế T4/ T3</t>
  </si>
  <si>
    <t>- Lượng khách trong tháng 1,2,3 đầu năm 2022 không đổi</t>
  </si>
  <si>
    <t>Tỷ lệ khách quốc tế T4/ cả năm</t>
  </si>
  <si>
    <t>Tỷ lệ khách T3/ cả năm</t>
  </si>
  <si>
    <t>Tỷ lệ khách nội địa T4/cả năm</t>
  </si>
  <si>
    <t>Bước 1 – Xác định lượng khách quốc tế đến Việt Nam:
 - Lấy số liệu khách quốc tế tháng 4/2022 làm mốc.
 - Giả định tăng trưởng 30% mỗi tháng để tính cho tháng 5 và 6.
- Với tháng 1, 2, 3: dựa vào tỷ lệ khách quốc tế tháng 4 so với tháng 3; giả định tháng 1 và 2 bằng tháng 3.
Bước 2 – Ước lượng khách nội địa đến Việt Nam:
 - Sử dụng tỷ lệ khách quốc tế/khách nội địa theo dữ liệu năm 2022 tại Hà Nội.
 - Từ lượng khách quốc tế đã tính, suy ra số lượng khách nội địa tương ứng cho từng tháng.
Bước 3 – Tổng hợp lượng khách đến Việt Nam theo tháng:
 - Cộng khách quốc tế và khách nội địa để có tổng lượng khách đến Việt Nam từng tháng.
Bước 4 – Phân bổ về khách sạn:
 - Dựa vào tỷ lệ khách tháng/năm và dự báo tổng khách cả năm đến khách sạn 2022.
 - Từ đó tính ra số lượng khách ước tính đến khách sạn trong từng tháng, tập trung vào quý 2/2022.</t>
  </si>
  <si>
    <t>2. Revenue Forcasting</t>
  </si>
  <si>
    <t>Câu hỏi: Dự kiến vào quý 2 năm 2022 khách sạn Aluxury Hà Nội sẽ có bao nhiêu lượng khách?</t>
  </si>
  <si>
    <t>Các chỉ số đã sử dụng:</t>
  </si>
  <si>
    <t>Mỗi năm khách sạn thu được bao nhiêu tổng doanh thu và doanh thu trên mỗi khách? Quý 1 và quý 2 năm 2022 dự kiến sẽ mang lại bao nhiêu?</t>
  </si>
  <si>
    <t>Câu hỏi: Dự kiến quý 2 năm 2022 doanh thu mục tiêu của khách sạn là bao nhiêu?</t>
  </si>
  <si>
    <t>Bước 1 – Tính doanh thu/khách bình quân:
 - Thu thập dữ liệu doanh thu và lượng khách từ các năm 2019–2021.
 - Tính ra doanh thu/khách từng năm.
 - Lấy trung bình 3 năm (2019–2021) làm doanh thu/khách năm 2022.
Bước 2 – Ước lượng khách Q1 và Q2/2022:
 - Dùng phương pháp đã tính ở phần trước (dựa trên khách quốc tế &amp; nội địa, tỷ lệ phân bổ tháng/năm).
Bước 3 – Dự đoán doanh thu:
 - Lấy doanh thu/khách năm 2022 × lượng khách thực tế của Q1 và Q2.
 - Kết quả cho ra doanh thu mục tiêu quý 2/2022.</t>
  </si>
  <si>
    <t>3. HR analysis</t>
  </si>
  <si>
    <t>Văn phòng</t>
  </si>
  <si>
    <t>Bảng số lượng nhân viên theo bộ phận trong từng năm</t>
  </si>
  <si>
    <t>Nhân viên/1000 khách</t>
  </si>
  <si>
    <t>Số nhân viên</t>
  </si>
  <si>
    <r>
      <t>Cần bao nhiêu nhân viên thuộc khối dịch vụ để phục vụ 1000 khách hàng theo giai đoạn ?</t>
    </r>
    <r>
      <rPr>
        <i/>
        <sz val="11"/>
        <color theme="1"/>
        <rFont val="Arial"/>
        <family val="2"/>
        <charset val="163"/>
        <scheme val="minor"/>
      </rPr>
      <t xml:space="preserve"> (đơn vị: người/nghìn)</t>
    </r>
  </si>
  <si>
    <r>
      <t>Mỗi nhân viên của khối dịch vụ tạo ra bao nhiêu doanh thu theo giai đoạn?</t>
    </r>
    <r>
      <rPr>
        <i/>
        <sz val="11"/>
        <color theme="1"/>
        <rFont val="Arial"/>
        <family val="2"/>
        <charset val="163"/>
        <scheme val="minor"/>
      </rPr>
      <t xml:space="preserve"> (đơn vị: tỷ/người)</t>
    </r>
  </si>
  <si>
    <t>Bảng số lượng nhân viên theo khối dịch vụ trong từng năm</t>
  </si>
  <si>
    <r>
      <rPr>
        <b/>
        <sz val="11"/>
        <color theme="1"/>
        <rFont val="Arial"/>
        <family val="2"/>
        <charset val="163"/>
        <scheme val="minor"/>
      </rPr>
      <t xml:space="preserve">Doanh thu theo dịch vụ </t>
    </r>
    <r>
      <rPr>
        <i/>
        <sz val="11"/>
        <color theme="1"/>
        <rFont val="Arial"/>
        <family val="2"/>
        <charset val="163"/>
        <scheme val="minor"/>
      </rPr>
      <t>(đơn vị: tỷ)</t>
    </r>
  </si>
  <si>
    <t>Bước 1 – Xác định chỉ số đo lường
 - Tỷ lệ nhân viên/1000 khách: cho biết cần bao nhiêu nhân sự để phục vụ một lượng khách nhất định.
 - Doanh thu/nhân viên: phản ánh năng suất lao động, tức mức doanh thu bình quân mà một nhân sự tạo ra.
Bước 2 – Cách tính
 - Lấy trung bình 1 tháng của từng năm để loại bỏ biến động mùa vụ.
 - Tỷ lệ nhân viên/1000 khách = (Số nhân viên trung bình tháng / Số khách tháng) × 1000.
 - Doanh thu/nhân viên = Doanh thu trung bình tháng / Số nhân viên trung bình tháng.
Bước 3 – Kết luận
 - So sánh xu hướng của hai chỉ số giữa giai đoạn trước Covid (2019) và sau Covid (2020–2022) để rút ra đánh giá về mức độ ảnh hưởng đến năng suất.</t>
  </si>
  <si>
    <t>Câu hỏi 1: Sau Covid-19, năng suất của nhân sự có bị ảnh hưởng không?</t>
  </si>
  <si>
    <t>Nhân viên/ 1000 Khách</t>
  </si>
  <si>
    <t>Tỷ lệ nhân viên/ 1000 khách theo bộ phận phù hợp - cân bằng tối ưu và hậu covid</t>
  </si>
  <si>
    <t>Mỗi tháng trong năm 2022, khách sạn cần tuyển bao nhiêu người cho vị trí nào?</t>
  </si>
  <si>
    <t>Hiện tại</t>
  </si>
  <si>
    <t>Câu hỏi 3: Khách sạn cần tuyển thêm bao nhiêu nhân sự và cho vị trí nào trong năm 2022?</t>
  </si>
  <si>
    <t>Câu hỏi 2: Việc hiệu suất nhân viên giảm có ảnh hưởng đến công ty như thế nào</t>
  </si>
  <si>
    <t>Cần để hoạt động</t>
  </si>
  <si>
    <t>Cần tuyển thêm</t>
  </si>
  <si>
    <t>- Cơ sở tính toán: Lấy số lượng nhân sự thực tế của tháng 4/2022 làm mốc tham chiếu.
- Dự đoán nhu cầu khách: Sử dụng số liệu khách hàng dự đoán cho các tháng tiếp theo trong năm.
- Chỉ số tham chiếu: Áp dụng tỷ lệ nhân viên/1000 khách được xác định cho từng bộ phận, có điều chỉnh theo mức cân bằng tối ưu và thực tế vận hành hậu Covid.
Bước tính toán:
 1. Ước lượng nhu cầu nhân sự từng bộ phận dựa trên lượng khách dự báo.
 2. So sánh với số nhân sự hiện có để xác định mức cần bổ sung.
 3. Tính toán lại sau khi trừ đi tỷ lệ turnover dự kiến để biết số nhân sự thực sự duy trì được.
Từ đó, xác định số lượng cần tuyển thêm mỗi tháng để đảm bảo hoạt động ổn định.</t>
  </si>
  <si>
    <t>Tỷ lệ nhân viên/1000 khách hàng theo từng nhóm công việc của khối dịch vụ theo từng giai đoạn</t>
  </si>
  <si>
    <t>Mức độ ảnh hưởng đến doanh thu theo nhóm công việc của khối dịch vụ</t>
  </si>
  <si>
    <t>% doanh thu bị ảnh hưởng</t>
  </si>
  <si>
    <t>Bước 1 – Xác định năng suất lao động:
 - Sử dụng chỉ số tỷ lệ nhân viên/1000 khách cho từng nhóm công việc (Lễ tân, Buồng, Nhà hàng, Bếp...). Chỉ số này được tính cho giai đoạn trước Covid (năm 2019) và sau Covid (tháng 4/2022).
Bước 2 – So sánh trước và sau Covid:
 - Đo mức thay đổi năng suất bằng cách lấy chênh lệch giữa tỷ lệ nhân viên/1000 khách tháng 4/2022 và tỷ lệ năm 2019. Nếu tỷ lệ sau Covid cao hơn, điều đó cho thấy năng suất giảm.
Bước 3 – Liên hệ với cơ cấu doanh thu:
 - Tính tỷ trọng doanh thu của từng nhóm dịch vụ trong tổng doanh thu (ví dụ: Lưu trú, Ẩm thực, Giải trí…).
Bước 4 – Tính mức độ ảnh hưởng:
 - Áp dụng công thức: Mức độ ảnh hưởng = Tỷ trọng doanh thu dịch vụ x [ 1 - (Tỷ lệ nhân viên/1000 khách tháng 4/2022 − Tỷ lệ năm 2019)]
Bước 5 – Đánh giá kết quả:
 - Nhóm dịch vụ có tỷ trọng doanh thu càng lớn, ảnh hưởng càng đáng kể.
 -Nếu hiệu suất nhân viên giảm mạnh, thì mức ảnh hưởng đến kết quả kinh doanh của nhóm dịch vụ đó sẽ cao hơn.</t>
  </si>
  <si>
    <t>Tỷ lệ chiếm dụng nguồn cung đã đào tạo lý tưởng của khách sạn</t>
  </si>
  <si>
    <t>Tổng nhu cầu tuyển dụng của công ty trong năm 2022</t>
  </si>
  <si>
    <t>Nhu cầu tuyển dụng của công ty và ngành khách sạn theo trình độ chuyên môn của người lao động năm 2022</t>
  </si>
  <si>
    <t>Tỷ lệ chuyên môn người lao động đang làm trong ngành khách sạn tương đương với tỷ lệ chuyên môn của nhu cầu tuyển dụng ngành khách sạn</t>
  </si>
  <si>
    <t>Câu hỏi 4: Tính cạnh tranh của thị trường lao động như thế nào? Khách sạn cần chiếm bao nhiêu % thị phần tuyển dụng để đạt mục tiêu?</t>
  </si>
  <si>
    <t>1. Tính cạnh tranh của thị trường lao động như thế nào?
Để đánh giá mức độ cạnh tranh, tôi dựa trên hai chỉ số chính:
 - Tỷ lệ cung/cầu lao động: cho thấy thị trường có đủ nguồn cung để đáp ứng nhu cầu tuyển dụng hay không. Nếu cung &lt; cầu, mức độ cạnh tranh sẽ cao.
 - Tỷ lệ lao động đã qua đào tạo: phản ánh chất lượng nguồn nhân lực. Khi tỷ lệ này thấp, các doanh nghiệp sẽ cạnh tranh gay gắt hơn để thu hút số ít lao động chất lượng.
=&gt; Hai chỉ số này kết hợp cho thấy mức độ khan hiếm nhân sự phù hợp và mức cạnh tranh giữa các doanh nghiệp trong ngành.
2. Khách sạn cần chiếm bao nhiêu % thị phần tuyển dụng để đạt mục tiêu?
Tôi tính toán bằng cách:
 - Lấy nhu cầu tuyển nhân sự đã qua đào tạo của khách sạn
 - Chia cho tổng cung lao động đã qua đào tạo trên thị trường
=&gt; Kết quả cho biết tỷ lệ % thị phần tuyển dụng mà khách sạn cần đạt để bảo đảm tuyển đủ người cho kế hoạch nhân sự.</t>
  </si>
  <si>
    <t>Câu hỏi 5: Với thời gian gấp rút thì nên chính sách tuyển dụng và đào tạo nên phối hợp như thế nào?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</si>
</sst>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
    <numFmt numFmtId="172" formatCode="0.0000"/>
  </numFmts>
  <fonts count="10" x14ac:knownFonts="1">
    <font>
      <sz val="11"/>
      <color theme="1"/>
      <name val="Arial"/>
      <family val="2"/>
      <scheme val="minor"/>
    </font>
    <font>
      <sz val="8"/>
      <name val="Arial"/>
      <family val="2"/>
      <scheme val="minor"/>
    </font>
    <font>
      <b/>
      <sz val="11"/>
      <color theme="1"/>
      <name val="Arial"/>
      <family val="2"/>
      <charset val="163"/>
      <scheme val="minor"/>
    </font>
    <font>
      <sz val="11"/>
      <color theme="1"/>
      <name val="Arial"/>
      <family val="2"/>
      <scheme val="minor"/>
    </font>
    <font>
      <b/>
      <i/>
      <sz val="11"/>
      <color theme="1"/>
      <name val="Arial"/>
      <family val="2"/>
      <charset val="163"/>
      <scheme val="minor"/>
    </font>
    <font>
      <sz val="11"/>
      <color theme="1"/>
      <name val="Arial"/>
      <family val="2"/>
      <charset val="163"/>
      <scheme val="minor"/>
    </font>
    <font>
      <sz val="11"/>
      <color theme="0"/>
      <name val="Arial"/>
      <family val="2"/>
      <scheme val="minor"/>
    </font>
    <font>
      <b/>
      <sz val="16"/>
      <color theme="4"/>
      <name val="Arial"/>
      <family val="2"/>
      <charset val="163"/>
      <scheme val="minor"/>
    </font>
    <font>
      <i/>
      <sz val="11"/>
      <color theme="1"/>
      <name val="Arial"/>
      <family val="2"/>
      <charset val="163"/>
      <scheme val="minor"/>
    </font>
    <font>
      <b/>
      <sz val="14"/>
      <color theme="1"/>
      <name val="Arial"/>
      <family val="2"/>
      <charset val="163"/>
      <scheme val="minor"/>
    </font>
  </fonts>
  <fills count="3">
    <fill>
      <patternFill patternType="none"/>
    </fill>
    <fill>
      <patternFill patternType="gray125"/>
    </fill>
    <fill>
      <patternFill patternType="solid">
        <fgColor theme="0" tint="-4.9989318521683403E-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ck">
        <color theme="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43" fontId="3" fillId="0" borderId="0" applyFont="0" applyFill="0" applyBorder="0" applyAlignment="0" applyProtection="0"/>
    <xf numFmtId="9" fontId="3" fillId="0" borderId="0" applyFont="0" applyFill="0" applyBorder="0" applyAlignment="0" applyProtection="0"/>
  </cellStyleXfs>
  <cellXfs count="86">
    <xf numFmtId="0" fontId="0" fillId="0" borderId="0" xfId="0"/>
    <xf numFmtId="0" fontId="0" fillId="0" borderId="0" xfId="0" applyBorder="1"/>
    <xf numFmtId="0" fontId="2" fillId="0" borderId="0" xfId="0" applyFont="1" applyBorder="1"/>
    <xf numFmtId="0" fontId="0" fillId="0" borderId="0" xfId="0" applyFill="1" applyBorder="1"/>
    <xf numFmtId="2" fontId="0" fillId="0" borderId="0" xfId="0" applyNumberFormat="1" applyBorder="1"/>
    <xf numFmtId="2" fontId="0" fillId="0" borderId="0" xfId="0" applyNumberFormat="1"/>
    <xf numFmtId="43" fontId="0" fillId="0" borderId="0" xfId="0" applyNumberFormat="1"/>
    <xf numFmtId="0" fontId="2" fillId="0" borderId="0" xfId="0" applyFont="1"/>
    <xf numFmtId="0" fontId="4" fillId="0" borderId="0" xfId="0" applyFont="1"/>
    <xf numFmtId="0" fontId="0" fillId="0" borderId="0" xfId="0" applyAlignment="1">
      <alignment horizontal="right"/>
    </xf>
    <xf numFmtId="164" fontId="0" fillId="0" borderId="0" xfId="0" applyNumberFormat="1"/>
    <xf numFmtId="17" fontId="0" fillId="0" borderId="0" xfId="0" applyNumberFormat="1" applyAlignment="1">
      <alignment horizontal="right"/>
    </xf>
    <xf numFmtId="1" fontId="0" fillId="0" borderId="0" xfId="0" applyNumberFormat="1"/>
    <xf numFmtId="9" fontId="0" fillId="0" borderId="0" xfId="2" applyFont="1"/>
    <xf numFmtId="10" fontId="0" fillId="0" borderId="0" xfId="2" applyNumberFormat="1" applyFont="1"/>
    <xf numFmtId="0" fontId="7" fillId="0" borderId="0" xfId="0" applyFont="1" applyBorder="1"/>
    <xf numFmtId="0" fontId="0" fillId="0" borderId="1" xfId="0" applyBorder="1"/>
    <xf numFmtId="2" fontId="0" fillId="0" borderId="1" xfId="0" applyNumberFormat="1" applyBorder="1"/>
    <xf numFmtId="2" fontId="0" fillId="0" borderId="2" xfId="0" applyNumberFormat="1" applyBorder="1"/>
    <xf numFmtId="0" fontId="0" fillId="0" borderId="1" xfId="0" applyFill="1" applyBorder="1"/>
    <xf numFmtId="0" fontId="0" fillId="0" borderId="0" xfId="0" quotePrefix="1" applyBorder="1"/>
    <xf numFmtId="0" fontId="0" fillId="0" borderId="1" xfId="0" applyFill="1" applyBorder="1" applyAlignment="1">
      <alignment horizontal="center" vertical="center"/>
    </xf>
    <xf numFmtId="2" fontId="0" fillId="0" borderId="1" xfId="0" applyNumberFormat="1" applyBorder="1" applyAlignment="1">
      <alignment horizontal="center"/>
    </xf>
    <xf numFmtId="0" fontId="0" fillId="0" borderId="0" xfId="0" applyBorder="1" applyAlignment="1">
      <alignment horizontal="center"/>
    </xf>
    <xf numFmtId="2" fontId="0" fillId="0" borderId="0" xfId="0" applyNumberFormat="1" applyBorder="1" applyAlignment="1">
      <alignment horizontal="center"/>
    </xf>
    <xf numFmtId="0" fontId="0" fillId="0" borderId="0" xfId="0" applyAlignment="1">
      <alignment horizontal="center"/>
    </xf>
    <xf numFmtId="0" fontId="0" fillId="0" borderId="0" xfId="0" quotePrefix="1" applyBorder="1" applyAlignment="1">
      <alignment horizontal="left" wrapText="1"/>
    </xf>
    <xf numFmtId="0" fontId="4" fillId="0" borderId="0" xfId="0" applyFont="1" applyBorder="1"/>
    <xf numFmtId="0" fontId="4" fillId="0" borderId="0" xfId="0" quotePrefix="1" applyFont="1" applyFill="1" applyBorder="1"/>
    <xf numFmtId="0" fontId="5" fillId="0" borderId="0" xfId="0" applyFont="1" applyBorder="1" applyAlignment="1">
      <alignment horizontal="center"/>
    </xf>
    <xf numFmtId="0" fontId="5" fillId="0" borderId="0" xfId="0" applyFont="1" applyBorder="1" applyAlignment="1">
      <alignment horizontal="center" vertical="center"/>
    </xf>
    <xf numFmtId="0" fontId="5" fillId="0" borderId="0" xfId="0" applyFont="1" applyAlignment="1">
      <alignment horizontal="center" vertical="center"/>
    </xf>
    <xf numFmtId="2" fontId="0" fillId="0" borderId="1" xfId="0" applyNumberFormat="1" applyBorder="1" applyAlignment="1">
      <alignment horizontal="center" vertical="center"/>
    </xf>
    <xf numFmtId="2" fontId="0" fillId="0" borderId="3" xfId="0" applyNumberFormat="1" applyBorder="1"/>
    <xf numFmtId="0" fontId="0" fillId="0" borderId="3" xfId="0" applyBorder="1"/>
    <xf numFmtId="0" fontId="9" fillId="0" borderId="0" xfId="0" applyFont="1"/>
    <xf numFmtId="43" fontId="0" fillId="0" borderId="1" xfId="0" applyNumberFormat="1" applyBorder="1"/>
    <xf numFmtId="0" fontId="0" fillId="2" borderId="1" xfId="0" applyFill="1" applyBorder="1" applyAlignment="1">
      <alignment horizontal="center"/>
    </xf>
    <xf numFmtId="0" fontId="0" fillId="2" borderId="2" xfId="0" applyFill="1" applyBorder="1" applyAlignment="1">
      <alignment horizontal="center"/>
    </xf>
    <xf numFmtId="0" fontId="0" fillId="2" borderId="1" xfId="0" applyFill="1" applyBorder="1"/>
    <xf numFmtId="0" fontId="0" fillId="2" borderId="1" xfId="0" applyFill="1" applyBorder="1" applyAlignment="1">
      <alignment horizontal="center" vertical="center"/>
    </xf>
    <xf numFmtId="0" fontId="0" fillId="2" borderId="2" xfId="0" applyFill="1" applyBorder="1" applyAlignment="1">
      <alignment horizontal="center" vertical="center"/>
    </xf>
    <xf numFmtId="2" fontId="0" fillId="2" borderId="1" xfId="0" applyNumberFormat="1" applyFill="1" applyBorder="1" applyAlignment="1">
      <alignment horizontal="center"/>
    </xf>
    <xf numFmtId="172" fontId="0" fillId="0" borderId="1" xfId="0" applyNumberFormat="1" applyBorder="1"/>
    <xf numFmtId="0" fontId="0" fillId="0" borderId="0" xfId="0" applyAlignment="1">
      <alignment horizontal="left" wrapText="1"/>
    </xf>
    <xf numFmtId="0" fontId="0" fillId="2" borderId="2" xfId="0" applyFill="1" applyBorder="1" applyAlignment="1">
      <alignment horizontal="left"/>
    </xf>
    <xf numFmtId="0" fontId="0" fillId="2" borderId="4" xfId="0" applyFill="1" applyBorder="1" applyAlignment="1">
      <alignment horizontal="left"/>
    </xf>
    <xf numFmtId="17" fontId="0" fillId="2" borderId="2" xfId="0" applyNumberFormat="1" applyFill="1" applyBorder="1" applyAlignment="1">
      <alignment horizontal="left"/>
    </xf>
    <xf numFmtId="17" fontId="0" fillId="2" borderId="4" xfId="0" applyNumberFormat="1" applyFill="1" applyBorder="1" applyAlignment="1">
      <alignment horizontal="left"/>
    </xf>
    <xf numFmtId="0" fontId="0" fillId="2" borderId="1" xfId="0" applyFill="1" applyBorder="1" applyAlignment="1">
      <alignment horizontal="center" vertical="center" wrapText="1"/>
    </xf>
    <xf numFmtId="17" fontId="0" fillId="2" borderId="1" xfId="0" applyNumberFormat="1" applyFill="1" applyBorder="1"/>
    <xf numFmtId="0" fontId="6" fillId="0" borderId="0" xfId="0" applyFont="1"/>
    <xf numFmtId="43" fontId="6" fillId="0" borderId="0" xfId="0" applyNumberFormat="1" applyFont="1"/>
    <xf numFmtId="0" fontId="6" fillId="0" borderId="0" xfId="0" applyFont="1" applyAlignment="1">
      <alignment horizontal="right"/>
    </xf>
    <xf numFmtId="0" fontId="5" fillId="0" borderId="0" xfId="0" applyFont="1"/>
    <xf numFmtId="0" fontId="0" fillId="2" borderId="1" xfId="0" applyFill="1" applyBorder="1" applyAlignment="1">
      <alignment horizontal="right" vertical="center"/>
    </xf>
    <xf numFmtId="43" fontId="0" fillId="0" borderId="1" xfId="1" applyFont="1" applyBorder="1" applyAlignment="1">
      <alignment horizontal="right" vertical="center"/>
    </xf>
    <xf numFmtId="2" fontId="0" fillId="0" borderId="1" xfId="0" applyNumberFormat="1" applyBorder="1" applyAlignment="1">
      <alignment horizontal="right" vertical="center"/>
    </xf>
    <xf numFmtId="43" fontId="0" fillId="0" borderId="1" xfId="0" applyNumberFormat="1" applyBorder="1" applyAlignment="1">
      <alignment horizontal="right" vertical="center"/>
    </xf>
    <xf numFmtId="0" fontId="0" fillId="0" borderId="1" xfId="0" applyBorder="1" applyAlignment="1">
      <alignment horizontal="left" vertical="center"/>
    </xf>
    <xf numFmtId="43" fontId="0" fillId="0" borderId="1" xfId="0" applyNumberFormat="1" applyBorder="1" applyAlignment="1">
      <alignment horizontal="left" vertical="center"/>
    </xf>
    <xf numFmtId="0" fontId="0" fillId="2" borderId="1" xfId="0" applyFill="1" applyBorder="1" applyAlignment="1">
      <alignment horizontal="left" vertical="center"/>
    </xf>
    <xf numFmtId="0" fontId="0" fillId="2" borderId="1" xfId="0" applyFill="1" applyBorder="1" applyAlignment="1">
      <alignment horizontal="left" vertical="center" wrapText="1"/>
    </xf>
    <xf numFmtId="0" fontId="5" fillId="0" borderId="0" xfId="0" applyFont="1" applyAlignment="1">
      <alignment vertical="center"/>
    </xf>
    <xf numFmtId="10" fontId="0" fillId="0" borderId="1" xfId="0" applyNumberFormat="1" applyBorder="1" applyAlignment="1">
      <alignment horizontal="center"/>
    </xf>
    <xf numFmtId="164" fontId="0" fillId="0" borderId="1" xfId="0" applyNumberFormat="1" applyBorder="1"/>
    <xf numFmtId="1" fontId="0" fillId="0" borderId="1" xfId="0" applyNumberFormat="1" applyBorder="1"/>
    <xf numFmtId="17" fontId="0" fillId="2" borderId="1" xfId="0" applyNumberFormat="1" applyFill="1" applyBorder="1" applyAlignment="1">
      <alignment horizontal="right"/>
    </xf>
    <xf numFmtId="17" fontId="0" fillId="0" borderId="1" xfId="0" applyNumberFormat="1" applyFill="1" applyBorder="1"/>
    <xf numFmtId="0" fontId="0" fillId="0" borderId="0" xfId="0" applyFill="1"/>
    <xf numFmtId="0" fontId="0" fillId="0" borderId="0" xfId="0" quotePrefix="1" applyAlignment="1">
      <alignment horizontal="left" wrapText="1"/>
    </xf>
    <xf numFmtId="43" fontId="0" fillId="0" borderId="0" xfId="0" applyNumberFormat="1" applyBorder="1"/>
    <xf numFmtId="9" fontId="0" fillId="0" borderId="1" xfId="2" applyFont="1" applyBorder="1"/>
    <xf numFmtId="0" fontId="0" fillId="0" borderId="0" xfId="0" applyAlignment="1">
      <alignment horizontal="left"/>
    </xf>
    <xf numFmtId="164" fontId="0" fillId="0" borderId="1" xfId="1" applyNumberFormat="1" applyFont="1" applyBorder="1" applyAlignment="1">
      <alignment horizontal="right"/>
    </xf>
    <xf numFmtId="164" fontId="0" fillId="0" borderId="1" xfId="1" applyNumberFormat="1" applyFont="1" applyBorder="1" applyAlignment="1">
      <alignment horizontal="left"/>
    </xf>
    <xf numFmtId="165" fontId="0" fillId="0" borderId="1" xfId="2" applyNumberFormat="1" applyFont="1" applyBorder="1"/>
    <xf numFmtId="9" fontId="0" fillId="0" borderId="1" xfId="0" applyNumberFormat="1" applyBorder="1"/>
    <xf numFmtId="0" fontId="5" fillId="0" borderId="1" xfId="0" applyFont="1" applyBorder="1" applyAlignment="1">
      <alignment vertical="center" wrapText="1"/>
    </xf>
    <xf numFmtId="0" fontId="0" fillId="0" borderId="1" xfId="0" applyBorder="1" applyAlignment="1">
      <alignment horizontal="left"/>
    </xf>
    <xf numFmtId="0" fontId="0" fillId="0" borderId="1" xfId="0" applyBorder="1" applyAlignment="1">
      <alignment horizontal="left" vertical="center"/>
    </xf>
    <xf numFmtId="0" fontId="5" fillId="2" borderId="1" xfId="0" applyFont="1" applyFill="1" applyBorder="1" applyAlignment="1">
      <alignment horizontal="left" wrapText="1"/>
    </xf>
    <xf numFmtId="0" fontId="5" fillId="2" borderId="1" xfId="0" applyFont="1" applyFill="1" applyBorder="1" applyAlignment="1">
      <alignment horizontal="left"/>
    </xf>
    <xf numFmtId="0" fontId="5" fillId="2" borderId="2" xfId="0" applyFont="1" applyFill="1" applyBorder="1" applyAlignment="1">
      <alignment horizontal="left" wrapText="1"/>
    </xf>
    <xf numFmtId="0" fontId="5" fillId="2" borderId="5" xfId="0" applyFont="1" applyFill="1" applyBorder="1" applyAlignment="1">
      <alignment horizontal="left" wrapText="1"/>
    </xf>
    <xf numFmtId="0" fontId="5" fillId="2" borderId="4" xfId="0" applyFont="1" applyFill="1" applyBorder="1" applyAlignment="1">
      <alignment horizontal="left"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C2B3B-E93B-471D-B523-C39A984920ED}">
  <dimension ref="B1:U200"/>
  <sheetViews>
    <sheetView showGridLines="0" tabSelected="1" topLeftCell="A159" zoomScale="70" zoomScaleNormal="70" workbookViewId="0">
      <selection activeCell="B161" sqref="B161:L161"/>
    </sheetView>
  </sheetViews>
  <sheetFormatPr defaultRowHeight="14" x14ac:dyDescent="0.3"/>
  <cols>
    <col min="1" max="1" width="3.08203125" customWidth="1"/>
    <col min="2" max="2" width="21.1640625" customWidth="1"/>
    <col min="3" max="3" width="15.08203125" bestFit="1" customWidth="1"/>
    <col min="4" max="4" width="14.58203125" customWidth="1"/>
    <col min="5" max="6" width="14.5" bestFit="1" customWidth="1"/>
    <col min="7" max="7" width="14.25" bestFit="1" customWidth="1"/>
    <col min="8" max="8" width="13.6640625" customWidth="1"/>
    <col min="9" max="9" width="14.1640625" customWidth="1"/>
    <col min="10" max="10" width="16.6640625" customWidth="1"/>
    <col min="11" max="11" width="12.58203125" customWidth="1"/>
    <col min="12" max="13" width="10.25" bestFit="1" customWidth="1"/>
    <col min="15" max="15" width="18.5" customWidth="1"/>
    <col min="16" max="16" width="10.9140625" bestFit="1" customWidth="1"/>
  </cols>
  <sheetData>
    <row r="1" spans="2:18" ht="20" x14ac:dyDescent="0.4">
      <c r="B1" s="15" t="s">
        <v>75</v>
      </c>
      <c r="D1" s="1"/>
      <c r="E1" s="1"/>
      <c r="F1" s="1"/>
      <c r="G1" s="1"/>
      <c r="H1" s="1"/>
      <c r="I1" s="1"/>
      <c r="J1" s="1"/>
      <c r="K1" s="1"/>
      <c r="L1" s="1"/>
      <c r="M1" s="1"/>
      <c r="N1" s="1"/>
      <c r="O1" s="1"/>
      <c r="P1" s="1"/>
      <c r="Q1" s="1"/>
      <c r="R1" s="1"/>
    </row>
    <row r="2" spans="2:18" ht="18" x14ac:dyDescent="0.4">
      <c r="B2" s="35" t="s">
        <v>101</v>
      </c>
      <c r="D2" s="1"/>
      <c r="E2" s="1"/>
      <c r="F2" s="1"/>
      <c r="G2" s="1"/>
      <c r="H2" s="1"/>
      <c r="I2" s="1"/>
      <c r="J2" s="1"/>
      <c r="K2" s="1"/>
      <c r="L2" s="1"/>
      <c r="M2" s="1"/>
      <c r="N2" s="1"/>
      <c r="O2" s="1"/>
      <c r="P2" s="1"/>
      <c r="Q2" s="1"/>
      <c r="R2" s="1"/>
    </row>
    <row r="3" spans="2:18" x14ac:dyDescent="0.3">
      <c r="B3" s="27" t="s">
        <v>2</v>
      </c>
      <c r="D3" s="1"/>
      <c r="E3" s="1"/>
      <c r="F3" s="1"/>
      <c r="G3" s="1"/>
      <c r="H3" s="1"/>
      <c r="I3" s="1"/>
      <c r="J3" s="1"/>
      <c r="K3" s="1"/>
      <c r="L3" s="1"/>
      <c r="M3" s="1"/>
      <c r="N3" s="1"/>
      <c r="O3" s="1"/>
      <c r="P3" s="1"/>
      <c r="Q3" s="1"/>
      <c r="R3" s="1"/>
    </row>
    <row r="4" spans="2:18" x14ac:dyDescent="0.3">
      <c r="B4" s="20" t="s">
        <v>86</v>
      </c>
      <c r="D4" s="1"/>
      <c r="E4" s="1"/>
      <c r="F4" s="1"/>
      <c r="G4" s="1"/>
      <c r="H4" s="1"/>
      <c r="I4" s="1"/>
      <c r="J4" s="1"/>
      <c r="K4" s="1"/>
      <c r="L4" s="1"/>
      <c r="M4" s="1"/>
      <c r="N4" s="1"/>
      <c r="O4" s="1"/>
      <c r="P4" s="1"/>
      <c r="Q4" s="1"/>
      <c r="R4" s="1"/>
    </row>
    <row r="5" spans="2:18" x14ac:dyDescent="0.3">
      <c r="B5" s="20" t="s">
        <v>87</v>
      </c>
      <c r="D5" s="1"/>
      <c r="E5" s="1"/>
      <c r="F5" s="1"/>
      <c r="G5" s="1"/>
      <c r="H5" s="1"/>
      <c r="I5" s="1"/>
      <c r="J5" s="1"/>
      <c r="K5" s="1"/>
      <c r="L5" s="1"/>
      <c r="M5" s="1"/>
      <c r="N5" s="1"/>
      <c r="O5" s="1"/>
      <c r="P5" s="1"/>
      <c r="Q5" s="1"/>
      <c r="R5" s="1"/>
    </row>
    <row r="6" spans="2:18" x14ac:dyDescent="0.3">
      <c r="B6" s="20" t="s">
        <v>95</v>
      </c>
      <c r="D6" s="1"/>
      <c r="E6" s="1"/>
      <c r="F6" s="1"/>
      <c r="G6" s="1"/>
      <c r="H6" s="1"/>
      <c r="I6" s="1"/>
      <c r="J6" s="1"/>
      <c r="K6" s="1"/>
      <c r="L6" s="1"/>
      <c r="M6" s="1"/>
      <c r="N6" s="1"/>
      <c r="O6" s="1"/>
      <c r="P6" s="1"/>
      <c r="Q6" s="1"/>
      <c r="R6" s="1"/>
    </row>
    <row r="7" spans="2:18" x14ac:dyDescent="0.3">
      <c r="B7" s="20"/>
      <c r="D7" s="1"/>
      <c r="E7" s="1"/>
      <c r="F7" s="1"/>
      <c r="G7" s="1"/>
      <c r="H7" s="1"/>
      <c r="I7" s="1"/>
      <c r="J7" s="1"/>
      <c r="K7" s="1"/>
      <c r="L7" s="1"/>
      <c r="M7" s="1"/>
      <c r="N7" s="1"/>
      <c r="O7" s="1"/>
      <c r="P7" s="1"/>
      <c r="Q7" s="1"/>
      <c r="R7" s="1"/>
    </row>
    <row r="8" spans="2:18" x14ac:dyDescent="0.3">
      <c r="B8" s="28" t="s">
        <v>92</v>
      </c>
      <c r="D8" s="1"/>
      <c r="E8" s="1"/>
      <c r="F8" s="1"/>
      <c r="G8" s="1"/>
      <c r="H8" s="1"/>
      <c r="I8" s="1"/>
      <c r="J8" s="1"/>
      <c r="K8" s="1"/>
      <c r="L8" s="1"/>
      <c r="M8" s="1"/>
      <c r="N8" s="1"/>
      <c r="O8" s="1"/>
      <c r="P8" s="1"/>
      <c r="Q8" s="1"/>
      <c r="R8" s="1"/>
    </row>
    <row r="9" spans="2:18" ht="171" customHeight="1" x14ac:dyDescent="0.3">
      <c r="B9" s="26" t="s">
        <v>99</v>
      </c>
      <c r="C9" s="26"/>
      <c r="D9" s="26"/>
      <c r="E9" s="26"/>
      <c r="F9" s="26"/>
      <c r="G9" s="26"/>
      <c r="H9" s="1"/>
      <c r="I9" s="1"/>
      <c r="J9" s="23"/>
      <c r="K9" s="1"/>
      <c r="L9" s="1"/>
      <c r="M9" s="1"/>
      <c r="N9" s="1"/>
      <c r="O9" s="1"/>
      <c r="P9" s="1"/>
      <c r="Q9" s="1"/>
      <c r="R9" s="1"/>
    </row>
    <row r="10" spans="2:18" x14ac:dyDescent="0.3">
      <c r="B10" s="20"/>
      <c r="D10" s="1"/>
      <c r="E10" s="1"/>
      <c r="F10" s="1"/>
      <c r="G10" s="1"/>
      <c r="H10" s="1"/>
      <c r="I10" s="1"/>
      <c r="J10" s="24"/>
      <c r="K10" s="1"/>
      <c r="L10" s="1"/>
      <c r="M10" s="1"/>
      <c r="N10" s="1"/>
      <c r="O10" s="1"/>
      <c r="P10" s="1"/>
      <c r="Q10" s="1"/>
      <c r="R10" s="1"/>
    </row>
    <row r="11" spans="2:18" x14ac:dyDescent="0.3">
      <c r="B11" s="8" t="s">
        <v>93</v>
      </c>
      <c r="D11" s="29" t="s">
        <v>0</v>
      </c>
      <c r="E11" s="1"/>
      <c r="F11" s="30" t="s">
        <v>97</v>
      </c>
      <c r="G11" s="1"/>
      <c r="H11" s="29" t="s">
        <v>96</v>
      </c>
      <c r="I11" s="1"/>
      <c r="J11" s="7"/>
      <c r="K11" s="29" t="s">
        <v>98</v>
      </c>
      <c r="N11" s="31" t="s">
        <v>94</v>
      </c>
      <c r="O11" s="1"/>
      <c r="Q11" s="1"/>
      <c r="R11" s="1"/>
    </row>
    <row r="12" spans="2:18" x14ac:dyDescent="0.3">
      <c r="D12" s="22">
        <f>3000/175</f>
        <v>17.142857142857142</v>
      </c>
      <c r="E12" s="1"/>
      <c r="F12" s="32">
        <f>E17/O17</f>
        <v>1.3014733527017326E-2</v>
      </c>
      <c r="G12" s="1"/>
      <c r="H12" s="22">
        <f>F17/O17</f>
        <v>3.1235360464841579E-2</v>
      </c>
      <c r="I12" s="1"/>
      <c r="K12" s="22">
        <f>F18/O18</f>
        <v>3.1235360464841582E-2</v>
      </c>
      <c r="N12" s="17">
        <v>2.4</v>
      </c>
      <c r="O12" s="1"/>
      <c r="Q12" s="1"/>
      <c r="R12" s="1"/>
    </row>
    <row r="13" spans="2:18" x14ac:dyDescent="0.3">
      <c r="B13" s="20"/>
      <c r="D13" s="1"/>
      <c r="E13" s="1"/>
      <c r="F13" s="1"/>
      <c r="G13" s="1"/>
      <c r="H13" s="1"/>
      <c r="I13" s="1"/>
      <c r="J13" s="1"/>
      <c r="K13" s="1"/>
      <c r="L13" s="1"/>
      <c r="M13" s="1"/>
      <c r="N13" s="1"/>
      <c r="O13" s="1"/>
      <c r="P13" s="1"/>
      <c r="Q13" s="1"/>
      <c r="R13" s="1"/>
    </row>
    <row r="14" spans="2:18" x14ac:dyDescent="0.3">
      <c r="B14" s="1"/>
      <c r="D14" s="1"/>
      <c r="E14" s="1"/>
      <c r="F14" s="1"/>
      <c r="G14" s="1"/>
      <c r="H14" s="1"/>
      <c r="I14" s="1"/>
      <c r="J14" s="1"/>
      <c r="K14" s="1"/>
      <c r="L14" s="1"/>
      <c r="M14" s="1"/>
      <c r="N14" s="1"/>
      <c r="O14" s="1"/>
      <c r="P14" s="1"/>
      <c r="Q14" s="1"/>
      <c r="R14" s="1"/>
    </row>
    <row r="15" spans="2:18" ht="14.5" x14ac:dyDescent="0.35">
      <c r="B15" s="2" t="s">
        <v>89</v>
      </c>
      <c r="D15" s="1"/>
      <c r="E15" s="1"/>
      <c r="F15" s="1"/>
      <c r="G15" s="1"/>
      <c r="H15" s="1"/>
      <c r="I15" s="1"/>
      <c r="J15" s="1"/>
      <c r="K15" s="1"/>
      <c r="L15" s="1"/>
      <c r="M15" s="1"/>
      <c r="N15" s="1"/>
      <c r="O15" s="1"/>
      <c r="P15" s="1"/>
      <c r="Q15" s="1"/>
      <c r="R15" s="1"/>
    </row>
    <row r="16" spans="2:18" x14ac:dyDescent="0.3">
      <c r="B16" s="16"/>
      <c r="C16" s="37" t="s">
        <v>77</v>
      </c>
      <c r="D16" s="37" t="s">
        <v>78</v>
      </c>
      <c r="E16" s="37" t="s">
        <v>79</v>
      </c>
      <c r="F16" s="37" t="s">
        <v>3</v>
      </c>
      <c r="G16" s="37" t="s">
        <v>4</v>
      </c>
      <c r="H16" s="37" t="s">
        <v>5</v>
      </c>
      <c r="I16" s="37" t="s">
        <v>80</v>
      </c>
      <c r="J16" s="37" t="s">
        <v>81</v>
      </c>
      <c r="K16" s="37" t="s">
        <v>82</v>
      </c>
      <c r="L16" s="37" t="s">
        <v>83</v>
      </c>
      <c r="M16" s="38" t="s">
        <v>84</v>
      </c>
      <c r="N16" s="37" t="s">
        <v>85</v>
      </c>
      <c r="O16" s="37" t="s">
        <v>76</v>
      </c>
      <c r="P16" s="1"/>
      <c r="Q16" s="1"/>
    </row>
    <row r="17" spans="2:21" x14ac:dyDescent="0.3">
      <c r="B17" s="39" t="s">
        <v>6</v>
      </c>
      <c r="C17" s="16">
        <f>D17</f>
        <v>42.250000000000007</v>
      </c>
      <c r="D17" s="16">
        <f>E17</f>
        <v>42.250000000000007</v>
      </c>
      <c r="E17" s="16">
        <f>F17/N12</f>
        <v>42.250000000000007</v>
      </c>
      <c r="F17" s="17">
        <v>101.4</v>
      </c>
      <c r="G17" s="17">
        <f>F17*130%</f>
        <v>131.82000000000002</v>
      </c>
      <c r="H17" s="17">
        <f>G17*130%</f>
        <v>171.36600000000004</v>
      </c>
      <c r="I17" s="17">
        <f>H17*130%</f>
        <v>222.77580000000006</v>
      </c>
      <c r="J17" s="17">
        <f>I17*130%</f>
        <v>289.60854000000006</v>
      </c>
      <c r="K17" s="17">
        <f>J17*130%</f>
        <v>376.49110200000007</v>
      </c>
      <c r="L17" s="17">
        <f>K17*130%</f>
        <v>489.43843260000011</v>
      </c>
      <c r="M17" s="18">
        <f>L17*130%</f>
        <v>636.26996238000015</v>
      </c>
      <c r="N17" s="17">
        <f>M17*130%</f>
        <v>827.15095109400022</v>
      </c>
      <c r="O17" s="17">
        <f>SUM(F17:N17)</f>
        <v>3246.320788074001</v>
      </c>
      <c r="P17" s="1"/>
      <c r="Q17" s="1"/>
    </row>
    <row r="18" spans="2:21" x14ac:dyDescent="0.3">
      <c r="B18" s="39" t="s">
        <v>7</v>
      </c>
      <c r="C18" s="17">
        <f>D18</f>
        <v>724.28571428571433</v>
      </c>
      <c r="D18" s="17">
        <f>E18</f>
        <v>724.28571428571433</v>
      </c>
      <c r="E18" s="17">
        <f>F18/N12</f>
        <v>724.28571428571433</v>
      </c>
      <c r="F18" s="17">
        <f>F17*$D$12</f>
        <v>1738.2857142857142</v>
      </c>
      <c r="G18" s="17">
        <f>F18*130%</f>
        <v>2259.7714285714287</v>
      </c>
      <c r="H18" s="17">
        <f>G18*130%</f>
        <v>2937.7028571428573</v>
      </c>
      <c r="I18" s="17">
        <f>H18*130%</f>
        <v>3819.0137142857147</v>
      </c>
      <c r="J18" s="17">
        <f>I18*130%</f>
        <v>4964.717828571429</v>
      </c>
      <c r="K18" s="17">
        <f>J18*130%</f>
        <v>6454.1331771428577</v>
      </c>
      <c r="L18" s="17">
        <f>K18*130%</f>
        <v>8390.3731302857159</v>
      </c>
      <c r="M18" s="18">
        <f>L18*130%</f>
        <v>10907.485069371431</v>
      </c>
      <c r="N18" s="17">
        <f>M18*130%</f>
        <v>14179.73059018286</v>
      </c>
      <c r="O18" s="17">
        <f>SUM(F18:N18)</f>
        <v>55651.213509840003</v>
      </c>
      <c r="P18" s="1"/>
      <c r="Q18" s="1"/>
      <c r="S18" s="1"/>
    </row>
    <row r="19" spans="2:21" x14ac:dyDescent="0.3">
      <c r="F19" s="4"/>
      <c r="G19" s="4"/>
      <c r="H19" s="4"/>
      <c r="I19" s="4"/>
      <c r="J19" s="4"/>
      <c r="K19" s="4"/>
      <c r="L19" s="4"/>
      <c r="M19" s="4"/>
      <c r="N19" s="22" t="s">
        <v>76</v>
      </c>
      <c r="O19" s="17">
        <f>SUM(O17:O18)</f>
        <v>58897.534297914004</v>
      </c>
      <c r="P19" s="1"/>
      <c r="Q19" s="1"/>
    </row>
    <row r="20" spans="2:21" x14ac:dyDescent="0.3">
      <c r="C20" s="1"/>
      <c r="D20" s="1"/>
      <c r="E20" s="1"/>
      <c r="F20" s="1"/>
      <c r="G20" s="1"/>
      <c r="H20" s="1"/>
      <c r="I20" s="1"/>
      <c r="J20" s="1"/>
      <c r="K20" s="1"/>
      <c r="L20" s="1"/>
      <c r="M20" s="1"/>
      <c r="N20" s="1"/>
      <c r="P20" s="1"/>
      <c r="Q20" s="1"/>
    </row>
    <row r="21" spans="2:21" ht="14.5" x14ac:dyDescent="0.35">
      <c r="B21" s="2" t="s">
        <v>90</v>
      </c>
      <c r="C21" s="1"/>
      <c r="D21" s="1"/>
      <c r="E21" s="1"/>
      <c r="F21" s="1"/>
      <c r="G21" s="1"/>
      <c r="H21" s="1"/>
      <c r="I21" s="1"/>
      <c r="J21" s="1"/>
      <c r="K21" s="1"/>
      <c r="L21" s="1"/>
      <c r="M21" s="1"/>
      <c r="N21" s="1"/>
      <c r="O21" s="1"/>
      <c r="P21" s="1"/>
      <c r="Q21" s="1"/>
      <c r="S21" s="1"/>
    </row>
    <row r="22" spans="2:21" x14ac:dyDescent="0.3">
      <c r="B22" s="16"/>
      <c r="C22" s="40" t="s">
        <v>77</v>
      </c>
      <c r="D22" s="40" t="s">
        <v>78</v>
      </c>
      <c r="E22" s="40" t="s">
        <v>79</v>
      </c>
      <c r="F22" s="40" t="s">
        <v>3</v>
      </c>
      <c r="G22" s="40" t="s">
        <v>4</v>
      </c>
      <c r="H22" s="40" t="s">
        <v>5</v>
      </c>
      <c r="I22" s="40" t="s">
        <v>80</v>
      </c>
      <c r="J22" s="40" t="s">
        <v>81</v>
      </c>
      <c r="K22" s="40" t="s">
        <v>82</v>
      </c>
      <c r="L22" s="40" t="s">
        <v>83</v>
      </c>
      <c r="M22" s="41" t="s">
        <v>84</v>
      </c>
      <c r="N22" s="40" t="s">
        <v>85</v>
      </c>
      <c r="O22" s="40" t="s">
        <v>88</v>
      </c>
      <c r="P22" s="40" t="s">
        <v>76</v>
      </c>
      <c r="Q22" s="1"/>
      <c r="T22" s="1"/>
      <c r="U22" s="1"/>
    </row>
    <row r="23" spans="2:21" x14ac:dyDescent="0.3">
      <c r="B23" s="39" t="s">
        <v>6</v>
      </c>
      <c r="C23" s="17">
        <f>P23*F12</f>
        <v>6.0663755326792081</v>
      </c>
      <c r="D23" s="17">
        <f>C23</f>
        <v>6.0663755326792081</v>
      </c>
      <c r="E23" s="17">
        <f>D23</f>
        <v>6.0663755326792081</v>
      </c>
      <c r="F23" s="17">
        <f>O23*H12</f>
        <v>13.990844998995104</v>
      </c>
      <c r="G23" s="17">
        <f t="shared" ref="G23:N24" si="0">F23*130%</f>
        <v>18.188098498693638</v>
      </c>
      <c r="H23" s="17">
        <f>G23*130%</f>
        <v>23.64452804830173</v>
      </c>
      <c r="I23" s="17">
        <f t="shared" si="0"/>
        <v>30.73788646279225</v>
      </c>
      <c r="J23" s="17">
        <f t="shared" si="0"/>
        <v>39.959252401629925</v>
      </c>
      <c r="K23" s="17">
        <f t="shared" si="0"/>
        <v>51.947028122118901</v>
      </c>
      <c r="L23" s="17">
        <f t="shared" si="0"/>
        <v>67.531136558754568</v>
      </c>
      <c r="M23" s="18">
        <f t="shared" si="0"/>
        <v>87.79047752638094</v>
      </c>
      <c r="N23" s="17">
        <f t="shared" si="0"/>
        <v>114.12762078429523</v>
      </c>
      <c r="O23" s="17">
        <f>P23-(C23+D23+E23)</f>
        <v>447.91687340196233</v>
      </c>
      <c r="P23" s="17">
        <f>P25*71.6%</f>
        <v>466.11599999999999</v>
      </c>
      <c r="Q23" s="4"/>
      <c r="T23" s="1"/>
      <c r="U23" s="1"/>
    </row>
    <row r="24" spans="2:21" x14ac:dyDescent="0.3">
      <c r="B24" s="39" t="s">
        <v>7</v>
      </c>
      <c r="C24" s="17">
        <f>P24*F12</f>
        <v>2.406215993409071</v>
      </c>
      <c r="D24" s="17">
        <f>C24</f>
        <v>2.406215993409071</v>
      </c>
      <c r="E24" s="17">
        <f>D24</f>
        <v>2.406215993409071</v>
      </c>
      <c r="F24" s="17">
        <f>O24*K12</f>
        <v>5.5494413124505728</v>
      </c>
      <c r="G24" s="17">
        <f t="shared" si="0"/>
        <v>7.2142737061857449</v>
      </c>
      <c r="H24" s="17">
        <f t="shared" si="0"/>
        <v>9.3785558180414679</v>
      </c>
      <c r="I24" s="17">
        <f t="shared" si="0"/>
        <v>12.192122563453909</v>
      </c>
      <c r="J24" s="17">
        <f t="shared" si="0"/>
        <v>15.849759332490082</v>
      </c>
      <c r="K24" s="17">
        <f t="shared" si="0"/>
        <v>20.604687132237107</v>
      </c>
      <c r="L24" s="17">
        <f t="shared" si="0"/>
        <v>26.786093271908239</v>
      </c>
      <c r="M24" s="18">
        <f t="shared" si="0"/>
        <v>34.82192125348071</v>
      </c>
      <c r="N24" s="17">
        <f t="shared" si="0"/>
        <v>45.268497629524923</v>
      </c>
      <c r="O24" s="17">
        <f>P24-(C24+D24+E24)</f>
        <v>177.66535201977277</v>
      </c>
      <c r="P24" s="17">
        <f>P25*28.4%</f>
        <v>184.88399999999999</v>
      </c>
      <c r="Q24" s="4"/>
      <c r="S24" s="1"/>
      <c r="T24" s="1"/>
      <c r="U24" s="1"/>
    </row>
    <row r="25" spans="2:21" x14ac:dyDescent="0.3">
      <c r="F25" s="5"/>
      <c r="G25" s="5"/>
      <c r="H25" s="5"/>
      <c r="I25" s="5"/>
      <c r="J25" s="4"/>
      <c r="K25" s="4"/>
      <c r="L25" s="4"/>
      <c r="M25" s="4"/>
      <c r="N25" s="42" t="s">
        <v>76</v>
      </c>
      <c r="O25" s="17">
        <v>650</v>
      </c>
      <c r="P25" s="17">
        <v>651</v>
      </c>
      <c r="Q25" s="1"/>
      <c r="T25" s="1"/>
      <c r="U25" s="1"/>
    </row>
    <row r="26" spans="2:21" x14ac:dyDescent="0.3">
      <c r="F26" s="1"/>
      <c r="G26" s="1"/>
      <c r="H26" s="1"/>
      <c r="I26" s="1"/>
      <c r="J26" s="1"/>
      <c r="K26" s="1"/>
      <c r="L26" s="1"/>
      <c r="M26" s="1"/>
      <c r="N26" s="1"/>
      <c r="O26" s="1"/>
      <c r="P26" s="1"/>
      <c r="Q26" s="1"/>
      <c r="T26" s="1"/>
      <c r="U26" s="1"/>
    </row>
    <row r="27" spans="2:21" ht="14.5" x14ac:dyDescent="0.35">
      <c r="B27" s="2" t="s">
        <v>91</v>
      </c>
      <c r="D27" s="1"/>
      <c r="I27" s="1"/>
      <c r="J27" s="1"/>
      <c r="K27" s="1"/>
      <c r="L27" s="1"/>
      <c r="M27" s="1"/>
      <c r="N27" s="1"/>
      <c r="O27" s="1"/>
      <c r="P27" s="1"/>
      <c r="Q27" s="1"/>
      <c r="S27" s="1"/>
    </row>
    <row r="28" spans="2:21" x14ac:dyDescent="0.3">
      <c r="B28" s="19"/>
      <c r="C28" s="37" t="s">
        <v>6</v>
      </c>
      <c r="D28" s="37" t="s">
        <v>8</v>
      </c>
      <c r="E28" s="37" t="s">
        <v>9</v>
      </c>
      <c r="F28" s="37" t="s">
        <v>10</v>
      </c>
      <c r="G28" s="37" t="s">
        <v>7</v>
      </c>
      <c r="H28" s="37" t="s">
        <v>76</v>
      </c>
      <c r="I28" s="1"/>
      <c r="J28" s="1"/>
      <c r="K28" s="1"/>
      <c r="L28" s="1"/>
      <c r="M28" s="1"/>
      <c r="N28" s="1"/>
      <c r="P28" s="1"/>
      <c r="Q28" s="1"/>
    </row>
    <row r="29" spans="2:21" x14ac:dyDescent="0.3">
      <c r="B29" s="39" t="s">
        <v>3</v>
      </c>
      <c r="C29" s="17">
        <f>F23</f>
        <v>13.990844998995104</v>
      </c>
      <c r="D29" s="17">
        <f>58.5%*C29</f>
        <v>8.184644324412135</v>
      </c>
      <c r="E29" s="17">
        <f>18.8%*C29</f>
        <v>2.6302788598110798</v>
      </c>
      <c r="F29" s="17">
        <f>C29-D29-E29</f>
        <v>3.1759218147718897</v>
      </c>
      <c r="G29" s="17">
        <f>F24</f>
        <v>5.5494413124505728</v>
      </c>
      <c r="H29" s="17">
        <f>G29+C29</f>
        <v>19.540286311445676</v>
      </c>
      <c r="I29" s="1"/>
      <c r="J29" s="1"/>
      <c r="K29" s="1"/>
      <c r="L29" s="1"/>
      <c r="M29" s="1"/>
      <c r="N29" s="1"/>
      <c r="P29" s="1"/>
      <c r="Q29" s="1"/>
    </row>
    <row r="30" spans="2:21" x14ac:dyDescent="0.3">
      <c r="B30" s="39" t="s">
        <v>4</v>
      </c>
      <c r="C30" s="17">
        <f>G23</f>
        <v>18.188098498693638</v>
      </c>
      <c r="D30" s="17">
        <f t="shared" ref="D30:D31" si="1">58.5%*C30</f>
        <v>10.640037621735777</v>
      </c>
      <c r="E30" s="17">
        <f t="shared" ref="E30:E31" si="2">18.8%*C30</f>
        <v>3.4193625177544038</v>
      </c>
      <c r="F30" s="17">
        <f t="shared" ref="F30:F31" si="3">C30-D30-E30</f>
        <v>4.1286983592034563</v>
      </c>
      <c r="G30" s="17">
        <f>G24</f>
        <v>7.2142737061857449</v>
      </c>
      <c r="H30" s="17">
        <f t="shared" ref="H30:H31" si="4">G30+C30</f>
        <v>25.402372204879384</v>
      </c>
      <c r="I30" s="1"/>
      <c r="J30" s="1"/>
      <c r="K30" s="1"/>
      <c r="L30" s="1"/>
      <c r="M30" s="1"/>
      <c r="N30" s="1"/>
      <c r="O30" s="1"/>
      <c r="P30" s="1"/>
      <c r="Q30" s="1"/>
      <c r="S30" s="1"/>
    </row>
    <row r="31" spans="2:21" x14ac:dyDescent="0.3">
      <c r="B31" s="39" t="s">
        <v>5</v>
      </c>
      <c r="C31" s="17">
        <f>H23</f>
        <v>23.64452804830173</v>
      </c>
      <c r="D31" s="17">
        <f t="shared" si="1"/>
        <v>13.83204890825651</v>
      </c>
      <c r="E31" s="17">
        <f t="shared" si="2"/>
        <v>4.4451712730807253</v>
      </c>
      <c r="F31" s="17">
        <f t="shared" si="3"/>
        <v>5.3673078669644942</v>
      </c>
      <c r="G31" s="17">
        <f>H24</f>
        <v>9.3785558180414679</v>
      </c>
      <c r="H31" s="17">
        <f t="shared" si="4"/>
        <v>33.0230838663432</v>
      </c>
    </row>
    <row r="32" spans="2:21" x14ac:dyDescent="0.3">
      <c r="B32" s="39" t="s">
        <v>76</v>
      </c>
      <c r="C32" s="17">
        <f>SUM(C29:C31)</f>
        <v>55.823471545990472</v>
      </c>
      <c r="D32" s="17">
        <f t="shared" ref="D32:G32" si="5">SUM(D29:D31)</f>
        <v>32.656730854404422</v>
      </c>
      <c r="E32" s="17">
        <f t="shared" si="5"/>
        <v>10.49481265064621</v>
      </c>
      <c r="F32" s="17">
        <f t="shared" si="5"/>
        <v>12.671928040939839</v>
      </c>
      <c r="G32" s="17">
        <f t="shared" si="5"/>
        <v>22.142270836677788</v>
      </c>
      <c r="H32" s="17">
        <f>SUM(H29:H31)</f>
        <v>77.965742382668253</v>
      </c>
    </row>
    <row r="33" spans="2:16" ht="14.5" thickBot="1" x14ac:dyDescent="0.35">
      <c r="B33" s="3"/>
      <c r="C33" s="4"/>
      <c r="D33" s="4"/>
      <c r="E33" s="4"/>
      <c r="F33" s="4"/>
      <c r="G33" s="4"/>
      <c r="H33" s="4"/>
      <c r="I33" s="1"/>
      <c r="J33" s="1"/>
      <c r="K33" s="1"/>
      <c r="L33" s="1"/>
      <c r="M33" s="1"/>
      <c r="N33" s="1"/>
      <c r="O33" s="1"/>
      <c r="P33" s="1"/>
    </row>
    <row r="34" spans="2:16" ht="14.5" thickTop="1" x14ac:dyDescent="0.3">
      <c r="B34" s="33"/>
      <c r="C34" s="33"/>
      <c r="D34" s="33"/>
      <c r="E34" s="33"/>
      <c r="F34" s="33"/>
      <c r="G34" s="33"/>
      <c r="H34" s="33"/>
      <c r="I34" s="34"/>
      <c r="J34" s="34"/>
      <c r="K34" s="34"/>
      <c r="L34" s="34"/>
      <c r="M34" s="34"/>
      <c r="N34" s="34"/>
      <c r="O34" s="34"/>
      <c r="P34" s="34"/>
    </row>
    <row r="35" spans="2:16" ht="20" x14ac:dyDescent="0.4">
      <c r="B35" s="15" t="s">
        <v>100</v>
      </c>
      <c r="I35" s="6"/>
    </row>
    <row r="36" spans="2:16" ht="18" x14ac:dyDescent="0.4">
      <c r="B36" s="35" t="s">
        <v>104</v>
      </c>
      <c r="C36" s="8"/>
      <c r="I36" s="6"/>
    </row>
    <row r="37" spans="2:16" x14ac:dyDescent="0.3">
      <c r="B37" s="8" t="s">
        <v>92</v>
      </c>
      <c r="C37" s="8"/>
      <c r="I37" s="6"/>
    </row>
    <row r="38" spans="2:16" ht="131" customHeight="1" x14ac:dyDescent="0.3">
      <c r="B38" s="44" t="s">
        <v>105</v>
      </c>
      <c r="C38" s="44"/>
      <c r="D38" s="44"/>
      <c r="E38" s="44"/>
      <c r="F38" s="44"/>
      <c r="G38" s="44"/>
      <c r="I38" s="6"/>
    </row>
    <row r="39" spans="2:16" x14ac:dyDescent="0.3">
      <c r="C39" s="8"/>
      <c r="I39" s="6"/>
    </row>
    <row r="40" spans="2:16" x14ac:dyDescent="0.3">
      <c r="B40" s="8" t="s">
        <v>102</v>
      </c>
      <c r="D40" s="23" t="s">
        <v>1</v>
      </c>
      <c r="I40" s="6"/>
    </row>
    <row r="41" spans="2:16" x14ac:dyDescent="0.3">
      <c r="D41" s="17">
        <f>650/O19</f>
        <v>1.10361156498027E-2</v>
      </c>
      <c r="I41" s="6"/>
    </row>
    <row r="42" spans="2:16" x14ac:dyDescent="0.3">
      <c r="C42" s="8"/>
      <c r="I42" s="6"/>
    </row>
    <row r="43" spans="2:16" x14ac:dyDescent="0.3">
      <c r="B43" s="7" t="s">
        <v>103</v>
      </c>
    </row>
    <row r="44" spans="2:16" x14ac:dyDescent="0.3">
      <c r="B44" s="16"/>
      <c r="C44" s="55">
        <v>2019</v>
      </c>
      <c r="D44" s="55">
        <v>2020</v>
      </c>
      <c r="E44" s="55">
        <v>2021</v>
      </c>
      <c r="F44" s="55">
        <v>2022</v>
      </c>
      <c r="G44" s="55" t="s">
        <v>74</v>
      </c>
      <c r="H44" s="55" t="s">
        <v>35</v>
      </c>
      <c r="I44" s="6"/>
    </row>
    <row r="45" spans="2:16" x14ac:dyDescent="0.3">
      <c r="B45" s="16" t="s">
        <v>33</v>
      </c>
      <c r="C45" s="56">
        <f>(18008.6+85000)*D41</f>
        <v>1136.8148225242664</v>
      </c>
      <c r="D45" s="56">
        <f>(3686.8+56000)*D41</f>
        <v>658.71042756664383</v>
      </c>
      <c r="E45" s="56">
        <f>40157.3*D41</f>
        <v>443.18060698382203</v>
      </c>
      <c r="F45" s="56">
        <f>O25</f>
        <v>650</v>
      </c>
      <c r="G45" s="57">
        <f>SUM(C23:E24)</f>
        <v>25.417774578264833</v>
      </c>
      <c r="H45" s="56">
        <f>H32</f>
        <v>77.965742382668253</v>
      </c>
    </row>
    <row r="46" spans="2:16" x14ac:dyDescent="0.3">
      <c r="B46" s="16" t="s">
        <v>36</v>
      </c>
      <c r="C46" s="56">
        <f>P59*1000000</f>
        <v>372600000</v>
      </c>
      <c r="D46" s="56">
        <f>P60*1000000</f>
        <v>143300000</v>
      </c>
      <c r="E46" s="56">
        <f>P61*1000000</f>
        <v>134700000</v>
      </c>
      <c r="F46" s="56">
        <f>F47*F45</f>
        <v>184002743.86624783</v>
      </c>
      <c r="G46" s="58">
        <f>G47*G45</f>
        <v>7195292.7159607532</v>
      </c>
      <c r="H46" s="56">
        <f>H47*H45</f>
        <v>22070631.578430723</v>
      </c>
    </row>
    <row r="47" spans="2:16" x14ac:dyDescent="0.3">
      <c r="B47" s="16" t="s">
        <v>34</v>
      </c>
      <c r="C47" s="56">
        <f>C46/C45</f>
        <v>327757.8657644979</v>
      </c>
      <c r="D47" s="56">
        <f t="shared" ref="D47:E47" si="6">D46/D45</f>
        <v>217546.27527207605</v>
      </c>
      <c r="E47" s="56">
        <f t="shared" si="6"/>
        <v>303939.29219226219</v>
      </c>
      <c r="F47" s="56">
        <f>AVERAGE(C47:E47)</f>
        <v>283081.14440961205</v>
      </c>
      <c r="G47" s="58">
        <f>F47</f>
        <v>283081.14440961205</v>
      </c>
      <c r="H47" s="56">
        <f>F47</f>
        <v>283081.14440961205</v>
      </c>
    </row>
    <row r="48" spans="2:16" ht="14.5" thickBot="1" x14ac:dyDescent="0.35">
      <c r="C48" s="6"/>
      <c r="D48" s="6"/>
      <c r="E48" s="6"/>
    </row>
    <row r="49" spans="2:16" ht="14.5" thickTop="1" x14ac:dyDescent="0.3">
      <c r="B49" s="33"/>
      <c r="C49" s="33"/>
      <c r="D49" s="33"/>
      <c r="E49" s="33"/>
      <c r="F49" s="33"/>
      <c r="G49" s="33"/>
      <c r="H49" s="33"/>
      <c r="I49" s="34"/>
      <c r="J49" s="34"/>
      <c r="K49" s="34"/>
      <c r="L49" s="34"/>
      <c r="M49" s="34"/>
      <c r="N49" s="34"/>
      <c r="O49" s="34"/>
      <c r="P49" s="34"/>
    </row>
    <row r="50" spans="2:16" ht="20" x14ac:dyDescent="0.4">
      <c r="B50" s="15" t="s">
        <v>106</v>
      </c>
    </row>
    <row r="51" spans="2:16" x14ac:dyDescent="0.3">
      <c r="B51" s="7" t="s">
        <v>108</v>
      </c>
      <c r="I51" s="7" t="s">
        <v>113</v>
      </c>
    </row>
    <row r="52" spans="2:16" x14ac:dyDescent="0.3">
      <c r="B52" s="39" t="s">
        <v>11</v>
      </c>
      <c r="C52" s="39" t="s">
        <v>26</v>
      </c>
      <c r="D52" s="39">
        <v>2019</v>
      </c>
      <c r="E52" s="39">
        <v>2020</v>
      </c>
      <c r="F52" s="39">
        <v>2021</v>
      </c>
      <c r="G52" s="50">
        <v>44652</v>
      </c>
      <c r="I52" s="39" t="s">
        <v>26</v>
      </c>
      <c r="J52" s="39">
        <v>2019</v>
      </c>
      <c r="K52" s="39">
        <v>2020</v>
      </c>
      <c r="L52" s="39">
        <v>2021</v>
      </c>
      <c r="M52" s="50">
        <v>44652</v>
      </c>
      <c r="O52" s="13"/>
    </row>
    <row r="53" spans="2:16" x14ac:dyDescent="0.3">
      <c r="B53" s="16" t="s">
        <v>12</v>
      </c>
      <c r="C53" s="16" t="s">
        <v>27</v>
      </c>
      <c r="D53" s="16">
        <v>56</v>
      </c>
      <c r="E53" s="16">
        <v>32</v>
      </c>
      <c r="F53" s="16">
        <v>32</v>
      </c>
      <c r="G53" s="16">
        <v>40</v>
      </c>
      <c r="I53" s="16" t="s">
        <v>27</v>
      </c>
      <c r="J53" s="16">
        <f>D53+D54</f>
        <v>151</v>
      </c>
      <c r="K53" s="16">
        <f>E53+E54</f>
        <v>82</v>
      </c>
      <c r="L53" s="16">
        <f>F53+F54</f>
        <v>84</v>
      </c>
      <c r="M53" s="16">
        <f>SUM(G53:G54)</f>
        <v>101</v>
      </c>
    </row>
    <row r="54" spans="2:16" x14ac:dyDescent="0.3">
      <c r="B54" s="16" t="s">
        <v>13</v>
      </c>
      <c r="C54" s="16" t="s">
        <v>27</v>
      </c>
      <c r="D54" s="16">
        <v>95</v>
      </c>
      <c r="E54" s="16">
        <v>50</v>
      </c>
      <c r="F54" s="16">
        <v>52</v>
      </c>
      <c r="G54" s="16">
        <v>61</v>
      </c>
      <c r="I54" s="16" t="s">
        <v>28</v>
      </c>
      <c r="J54" s="16">
        <f>D55+D56+D57</f>
        <v>103</v>
      </c>
      <c r="K54" s="16">
        <f>E55+E56+E57</f>
        <v>70</v>
      </c>
      <c r="L54" s="16">
        <f>F55+F56+F57</f>
        <v>73</v>
      </c>
      <c r="M54" s="16">
        <f>SUM(G55:G57)</f>
        <v>77</v>
      </c>
    </row>
    <row r="55" spans="2:16" x14ac:dyDescent="0.3">
      <c r="B55" s="16" t="s">
        <v>14</v>
      </c>
      <c r="C55" s="16" t="s">
        <v>28</v>
      </c>
      <c r="D55" s="16">
        <v>35</v>
      </c>
      <c r="E55" s="16">
        <v>26</v>
      </c>
      <c r="F55" s="16">
        <v>27</v>
      </c>
      <c r="G55" s="16">
        <v>28</v>
      </c>
      <c r="I55" s="16" t="s">
        <v>29</v>
      </c>
      <c r="J55" s="16">
        <f>D58</f>
        <v>17</v>
      </c>
      <c r="K55" s="16">
        <f>E58</f>
        <v>12</v>
      </c>
      <c r="L55" s="16">
        <f>F58</f>
        <v>12</v>
      </c>
      <c r="M55" s="16">
        <f>G58</f>
        <v>12</v>
      </c>
    </row>
    <row r="56" spans="2:16" x14ac:dyDescent="0.3">
      <c r="B56" s="16" t="s">
        <v>15</v>
      </c>
      <c r="C56" s="16" t="s">
        <v>28</v>
      </c>
      <c r="D56" s="16">
        <v>11</v>
      </c>
      <c r="E56" s="16">
        <v>4</v>
      </c>
      <c r="F56" s="16">
        <v>4</v>
      </c>
      <c r="G56" s="16">
        <v>4</v>
      </c>
    </row>
    <row r="57" spans="2:16" ht="14.5" x14ac:dyDescent="0.35">
      <c r="B57" s="16" t="s">
        <v>16</v>
      </c>
      <c r="C57" s="16" t="s">
        <v>28</v>
      </c>
      <c r="D57" s="16">
        <v>57</v>
      </c>
      <c r="E57" s="16">
        <v>40</v>
      </c>
      <c r="F57" s="16">
        <v>42</v>
      </c>
      <c r="G57" s="16">
        <v>45</v>
      </c>
      <c r="I57" s="54" t="s">
        <v>114</v>
      </c>
    </row>
    <row r="58" spans="2:16" x14ac:dyDescent="0.3">
      <c r="B58" s="16" t="s">
        <v>17</v>
      </c>
      <c r="C58" s="16" t="s">
        <v>29</v>
      </c>
      <c r="D58" s="16">
        <v>17</v>
      </c>
      <c r="E58" s="16">
        <v>12</v>
      </c>
      <c r="F58" s="16">
        <v>12</v>
      </c>
      <c r="G58" s="16">
        <v>12</v>
      </c>
      <c r="I58" s="39" t="s">
        <v>26</v>
      </c>
      <c r="J58" s="39">
        <v>2019</v>
      </c>
      <c r="K58" s="39">
        <v>2020</v>
      </c>
      <c r="L58" s="39">
        <v>2021</v>
      </c>
      <c r="M58" s="50">
        <v>44652</v>
      </c>
      <c r="O58" s="51" t="s">
        <v>30</v>
      </c>
      <c r="P58" s="51" t="s">
        <v>31</v>
      </c>
    </row>
    <row r="59" spans="2:16" x14ac:dyDescent="0.3">
      <c r="B59" s="16" t="s">
        <v>18</v>
      </c>
      <c r="C59" s="16" t="s">
        <v>107</v>
      </c>
      <c r="D59" s="16">
        <v>19</v>
      </c>
      <c r="E59" s="16">
        <v>17</v>
      </c>
      <c r="F59" s="16">
        <v>17</v>
      </c>
      <c r="G59" s="16">
        <v>17</v>
      </c>
      <c r="I59" s="16" t="s">
        <v>27</v>
      </c>
      <c r="J59" s="17">
        <f>P59* 65.11%</f>
        <v>242.59986000000001</v>
      </c>
      <c r="K59" s="17">
        <f>P60* 64.56%</f>
        <v>92.51448000000002</v>
      </c>
      <c r="L59" s="17">
        <f>P61* 64.36%</f>
        <v>86.692919999999987</v>
      </c>
      <c r="M59" s="17">
        <f>($H$47/1000000)*$H$29*65%</f>
        <v>3.5954662972380875</v>
      </c>
      <c r="O59" s="51">
        <v>2019</v>
      </c>
      <c r="P59" s="51">
        <v>372.6</v>
      </c>
    </row>
    <row r="60" spans="2:16" x14ac:dyDescent="0.3">
      <c r="B60" s="16" t="s">
        <v>19</v>
      </c>
      <c r="C60" s="16" t="s">
        <v>107</v>
      </c>
      <c r="D60" s="16">
        <v>18</v>
      </c>
      <c r="E60" s="16">
        <v>12</v>
      </c>
      <c r="F60" s="16">
        <v>12</v>
      </c>
      <c r="G60" s="16">
        <v>15</v>
      </c>
      <c r="I60" s="16" t="s">
        <v>28</v>
      </c>
      <c r="J60" s="17">
        <f>P59*28.32%</f>
        <v>105.52032000000001</v>
      </c>
      <c r="K60" s="17">
        <f>P60*29.35%</f>
        <v>42.058550000000011</v>
      </c>
      <c r="L60" s="17">
        <f>P61* 29.52%</f>
        <v>39.763439999999996</v>
      </c>
      <c r="M60" s="17">
        <f>($H$47/1000000)*$H$29*29%</f>
        <v>1.6041311172293005</v>
      </c>
      <c r="O60" s="51">
        <v>2020</v>
      </c>
      <c r="P60" s="51">
        <v>143.30000000000001</v>
      </c>
    </row>
    <row r="61" spans="2:16" x14ac:dyDescent="0.3">
      <c r="B61" s="16" t="s">
        <v>20</v>
      </c>
      <c r="C61" s="16" t="s">
        <v>107</v>
      </c>
      <c r="D61" s="16">
        <v>5</v>
      </c>
      <c r="E61" s="16">
        <v>5</v>
      </c>
      <c r="F61" s="16">
        <v>4</v>
      </c>
      <c r="G61" s="16">
        <v>4</v>
      </c>
      <c r="I61" s="16" t="s">
        <v>29</v>
      </c>
      <c r="J61" s="17">
        <f>P59-J59-J60</f>
        <v>24.479820000000004</v>
      </c>
      <c r="K61" s="17">
        <f>P60-K59-K60</f>
        <v>8.7269699999999801</v>
      </c>
      <c r="L61" s="17">
        <f>P61-L59-L60</f>
        <v>8.2436400000000063</v>
      </c>
      <c r="M61" s="17">
        <f>($H$47/1000000)*$H$29*6%</f>
        <v>0.33188919666813116</v>
      </c>
      <c r="O61" s="51">
        <v>2021</v>
      </c>
      <c r="P61" s="51">
        <v>134.69999999999999</v>
      </c>
    </row>
    <row r="62" spans="2:16" x14ac:dyDescent="0.3">
      <c r="B62" s="16" t="s">
        <v>21</v>
      </c>
      <c r="C62" s="16" t="s">
        <v>107</v>
      </c>
      <c r="D62" s="16">
        <v>4</v>
      </c>
      <c r="E62" s="16">
        <v>4</v>
      </c>
      <c r="F62" s="16">
        <v>4</v>
      </c>
      <c r="G62" s="16">
        <v>4</v>
      </c>
      <c r="M62" s="6"/>
      <c r="O62" s="51">
        <v>2022</v>
      </c>
      <c r="P62" s="52">
        <f>F46/1000000</f>
        <v>184.00274386624784</v>
      </c>
    </row>
    <row r="63" spans="2:16" x14ac:dyDescent="0.3">
      <c r="B63" s="16" t="s">
        <v>22</v>
      </c>
      <c r="C63" s="16" t="s">
        <v>107</v>
      </c>
      <c r="D63" s="16">
        <v>13</v>
      </c>
      <c r="E63" s="16">
        <v>13</v>
      </c>
      <c r="F63" s="16">
        <v>12</v>
      </c>
      <c r="G63" s="16">
        <v>12</v>
      </c>
      <c r="O63" s="53" t="s">
        <v>32</v>
      </c>
      <c r="P63" s="52">
        <f>H46 / 1000000</f>
        <v>22.070631578430724</v>
      </c>
    </row>
    <row r="64" spans="2:16" x14ac:dyDescent="0.3">
      <c r="B64" s="16" t="s">
        <v>23</v>
      </c>
      <c r="C64" s="16" t="s">
        <v>107</v>
      </c>
      <c r="D64" s="16">
        <v>17</v>
      </c>
      <c r="E64" s="16">
        <v>17</v>
      </c>
      <c r="F64" s="16">
        <v>17</v>
      </c>
      <c r="G64" s="16">
        <v>17</v>
      </c>
    </row>
    <row r="65" spans="2:13" x14ac:dyDescent="0.3">
      <c r="B65" s="16" t="s">
        <v>24</v>
      </c>
      <c r="C65" s="16" t="s">
        <v>107</v>
      </c>
      <c r="D65" s="16">
        <v>4</v>
      </c>
      <c r="E65" s="16">
        <v>4</v>
      </c>
      <c r="F65" s="16">
        <v>4</v>
      </c>
      <c r="G65" s="16">
        <v>4</v>
      </c>
    </row>
    <row r="66" spans="2:13" x14ac:dyDescent="0.3">
      <c r="B66" s="39" t="s">
        <v>25</v>
      </c>
      <c r="C66" s="16"/>
      <c r="D66" s="16">
        <v>351</v>
      </c>
      <c r="E66" s="16">
        <v>236</v>
      </c>
      <c r="F66" s="16">
        <v>239</v>
      </c>
      <c r="G66" s="16">
        <v>263</v>
      </c>
    </row>
    <row r="68" spans="2:13" ht="18" x14ac:dyDescent="0.4">
      <c r="B68" s="35" t="s">
        <v>116</v>
      </c>
    </row>
    <row r="69" spans="2:13" x14ac:dyDescent="0.3">
      <c r="B69" s="8" t="s">
        <v>92</v>
      </c>
      <c r="M69" s="6"/>
    </row>
    <row r="70" spans="2:13" ht="145" customHeight="1" x14ac:dyDescent="0.3">
      <c r="B70" s="44" t="s">
        <v>115</v>
      </c>
      <c r="C70" s="44"/>
      <c r="D70" s="44"/>
      <c r="E70" s="44"/>
      <c r="F70" s="44"/>
      <c r="G70" s="44"/>
      <c r="M70" s="6"/>
    </row>
    <row r="71" spans="2:13" x14ac:dyDescent="0.3">
      <c r="M71" s="6"/>
    </row>
    <row r="72" spans="2:13" ht="14.5" x14ac:dyDescent="0.35">
      <c r="B72" s="7" t="s">
        <v>111</v>
      </c>
      <c r="M72" s="6"/>
    </row>
    <row r="73" spans="2:13" x14ac:dyDescent="0.3">
      <c r="B73" s="7"/>
      <c r="D73" s="45">
        <v>2019</v>
      </c>
      <c r="E73" s="46"/>
      <c r="F73" s="45">
        <v>2020</v>
      </c>
      <c r="G73" s="46"/>
      <c r="H73" s="45">
        <v>2021</v>
      </c>
      <c r="I73" s="46"/>
      <c r="J73" s="47">
        <v>44652</v>
      </c>
      <c r="K73" s="48"/>
      <c r="M73" s="6"/>
    </row>
    <row r="74" spans="2:13" ht="32" customHeight="1" x14ac:dyDescent="0.3">
      <c r="B74" s="40" t="s">
        <v>11</v>
      </c>
      <c r="C74" s="41" t="s">
        <v>26</v>
      </c>
      <c r="D74" s="49" t="s">
        <v>110</v>
      </c>
      <c r="E74" s="49" t="s">
        <v>109</v>
      </c>
      <c r="F74" s="49" t="s">
        <v>110</v>
      </c>
      <c r="G74" s="49" t="s">
        <v>109</v>
      </c>
      <c r="H74" s="49" t="s">
        <v>110</v>
      </c>
      <c r="I74" s="49" t="s">
        <v>109</v>
      </c>
      <c r="J74" s="49" t="s">
        <v>110</v>
      </c>
      <c r="K74" s="49" t="s">
        <v>109</v>
      </c>
      <c r="M74" s="6"/>
    </row>
    <row r="75" spans="2:13" x14ac:dyDescent="0.3">
      <c r="B75" s="16" t="s">
        <v>12</v>
      </c>
      <c r="C75" s="16" t="s">
        <v>27</v>
      </c>
      <c r="D75" s="16">
        <v>56</v>
      </c>
      <c r="E75" s="36">
        <f>D75/($C$45/12)</f>
        <v>0.59112529735303965</v>
      </c>
      <c r="F75" s="16">
        <v>32</v>
      </c>
      <c r="G75" s="36">
        <f>F75/($D$45/12)</f>
        <v>0.58295722054764265</v>
      </c>
      <c r="H75" s="16">
        <v>32</v>
      </c>
      <c r="I75" s="36">
        <f>H75/($E$45/12)</f>
        <v>0.86646390647237326</v>
      </c>
      <c r="J75" s="16">
        <v>40</v>
      </c>
      <c r="K75" s="17">
        <f>J75/$H$29</f>
        <v>2.0470529122477643</v>
      </c>
      <c r="M75" s="6"/>
    </row>
    <row r="76" spans="2:13" x14ac:dyDescent="0.3">
      <c r="B76" s="16" t="s">
        <v>13</v>
      </c>
      <c r="C76" s="16" t="s">
        <v>27</v>
      </c>
      <c r="D76" s="16">
        <v>95</v>
      </c>
      <c r="E76" s="36">
        <f t="shared" ref="E76:E80" si="7">D76/($C$45/12)</f>
        <v>1.0028018437239066</v>
      </c>
      <c r="F76" s="16">
        <v>50</v>
      </c>
      <c r="G76" s="36">
        <f t="shared" ref="G76:G80" si="8">F76/($D$45/12)</f>
        <v>0.91087065710569171</v>
      </c>
      <c r="H76" s="16">
        <v>52</v>
      </c>
      <c r="I76" s="36">
        <f t="shared" ref="I76:I80" si="9">H76/($E$45/12)</f>
        <v>1.4080038480176067</v>
      </c>
      <c r="J76" s="16">
        <v>61</v>
      </c>
      <c r="K76" s="17">
        <f t="shared" ref="K76:K80" si="10">J76/$H$29</f>
        <v>3.121755691177841</v>
      </c>
      <c r="M76" s="6"/>
    </row>
    <row r="77" spans="2:13" x14ac:dyDescent="0.3">
      <c r="B77" s="16" t="s">
        <v>14</v>
      </c>
      <c r="C77" s="16" t="s">
        <v>28</v>
      </c>
      <c r="D77" s="16">
        <v>35</v>
      </c>
      <c r="E77" s="36">
        <f t="shared" si="7"/>
        <v>0.36945331084564981</v>
      </c>
      <c r="F77" s="16">
        <v>26</v>
      </c>
      <c r="G77" s="36">
        <f t="shared" si="8"/>
        <v>0.47365274169495969</v>
      </c>
      <c r="H77" s="16">
        <v>27</v>
      </c>
      <c r="I77" s="36">
        <f t="shared" si="9"/>
        <v>0.73107892108606498</v>
      </c>
      <c r="J77" s="16">
        <v>28</v>
      </c>
      <c r="K77" s="17">
        <f t="shared" si="10"/>
        <v>1.4329370385734352</v>
      </c>
      <c r="M77" s="6"/>
    </row>
    <row r="78" spans="2:13" x14ac:dyDescent="0.3">
      <c r="B78" s="16" t="s">
        <v>15</v>
      </c>
      <c r="C78" s="16" t="s">
        <v>28</v>
      </c>
      <c r="D78" s="16">
        <v>11</v>
      </c>
      <c r="E78" s="36">
        <f t="shared" si="7"/>
        <v>0.11611389769434707</v>
      </c>
      <c r="F78" s="16">
        <v>4</v>
      </c>
      <c r="G78" s="36">
        <f t="shared" si="8"/>
        <v>7.2869652568455331E-2</v>
      </c>
      <c r="H78" s="16">
        <v>4</v>
      </c>
      <c r="I78" s="36">
        <f t="shared" si="9"/>
        <v>0.10830798830904666</v>
      </c>
      <c r="J78" s="16">
        <v>4</v>
      </c>
      <c r="K78" s="17">
        <f t="shared" si="10"/>
        <v>0.20470529122477646</v>
      </c>
      <c r="M78" s="6"/>
    </row>
    <row r="79" spans="2:13" x14ac:dyDescent="0.3">
      <c r="B79" s="16" t="s">
        <v>16</v>
      </c>
      <c r="C79" s="16" t="s">
        <v>28</v>
      </c>
      <c r="D79" s="16">
        <v>57</v>
      </c>
      <c r="E79" s="36">
        <f t="shared" si="7"/>
        <v>0.60168110623434401</v>
      </c>
      <c r="F79" s="16">
        <v>40</v>
      </c>
      <c r="G79" s="36">
        <f t="shared" si="8"/>
        <v>0.72869652568455334</v>
      </c>
      <c r="H79" s="16">
        <v>42</v>
      </c>
      <c r="I79" s="36">
        <f t="shared" si="9"/>
        <v>1.1372338772449899</v>
      </c>
      <c r="J79" s="16">
        <v>45</v>
      </c>
      <c r="K79" s="17">
        <f t="shared" si="10"/>
        <v>2.3029345262787349</v>
      </c>
      <c r="M79" s="6"/>
    </row>
    <row r="80" spans="2:13" x14ac:dyDescent="0.3">
      <c r="B80" s="16" t="s">
        <v>17</v>
      </c>
      <c r="C80" s="16" t="s">
        <v>29</v>
      </c>
      <c r="D80" s="16">
        <v>17</v>
      </c>
      <c r="E80" s="36">
        <f t="shared" si="7"/>
        <v>0.17944875098217275</v>
      </c>
      <c r="F80" s="16">
        <v>12</v>
      </c>
      <c r="G80" s="36">
        <f t="shared" si="8"/>
        <v>0.21860895770536601</v>
      </c>
      <c r="H80" s="16">
        <v>12</v>
      </c>
      <c r="I80" s="36">
        <f t="shared" si="9"/>
        <v>0.32492396492713999</v>
      </c>
      <c r="J80" s="16">
        <v>12</v>
      </c>
      <c r="K80" s="17">
        <f t="shared" si="10"/>
        <v>0.61411587367432929</v>
      </c>
      <c r="M80" s="6"/>
    </row>
    <row r="81" spans="2:19" x14ac:dyDescent="0.3">
      <c r="M81" s="6"/>
    </row>
    <row r="82" spans="2:19" ht="14.5" x14ac:dyDescent="0.35">
      <c r="B82" s="7" t="s">
        <v>112</v>
      </c>
      <c r="M82" s="6"/>
    </row>
    <row r="83" spans="2:19" x14ac:dyDescent="0.3">
      <c r="B83" s="39" t="s">
        <v>26</v>
      </c>
      <c r="C83" s="39">
        <v>2019</v>
      </c>
      <c r="D83" s="39">
        <v>2020</v>
      </c>
      <c r="E83" s="39">
        <v>2021</v>
      </c>
      <c r="F83" s="50">
        <v>45769</v>
      </c>
      <c r="M83" s="6"/>
    </row>
    <row r="84" spans="2:19" x14ac:dyDescent="0.3">
      <c r="B84" s="16" t="s">
        <v>27</v>
      </c>
      <c r="C84" s="43">
        <f>J59/12/J53</f>
        <v>0.13388513245033112</v>
      </c>
      <c r="D84" s="43">
        <f>K59/12/K53</f>
        <v>9.401878048780489E-2</v>
      </c>
      <c r="E84" s="43">
        <f>L59/12/L53</f>
        <v>8.6004880952380944E-2</v>
      </c>
      <c r="F84" s="36">
        <f>M59/M53</f>
        <v>3.5598676210278096E-2</v>
      </c>
      <c r="M84" s="6"/>
    </row>
    <row r="85" spans="2:19" x14ac:dyDescent="0.3">
      <c r="B85" s="16" t="s">
        <v>28</v>
      </c>
      <c r="C85" s="43">
        <f>J60/12/J54</f>
        <v>8.537242718446604E-2</v>
      </c>
      <c r="D85" s="43">
        <f>K60/12/K54</f>
        <v>5.0069702380952395E-2</v>
      </c>
      <c r="E85" s="43">
        <f>L60/12/L54</f>
        <v>4.5392054794520548E-2</v>
      </c>
      <c r="F85" s="36">
        <f t="shared" ref="F85:F86" si="11">M60/M54</f>
        <v>2.0832871652328576E-2</v>
      </c>
    </row>
    <row r="86" spans="2:19" x14ac:dyDescent="0.3">
      <c r="B86" s="16" t="s">
        <v>29</v>
      </c>
      <c r="C86" s="43">
        <f>J61/12/J55</f>
        <v>0.11999911764705884</v>
      </c>
      <c r="D86" s="43">
        <f>K61/12/K55</f>
        <v>6.0603958333333201E-2</v>
      </c>
      <c r="E86" s="43">
        <f>L61/12/L55</f>
        <v>5.7247500000000041E-2</v>
      </c>
      <c r="F86" s="36">
        <f t="shared" si="11"/>
        <v>2.7657433055677597E-2</v>
      </c>
    </row>
    <row r="88" spans="2:19" ht="18" x14ac:dyDescent="0.4">
      <c r="B88" s="35" t="s">
        <v>122</v>
      </c>
    </row>
    <row r="89" spans="2:19" x14ac:dyDescent="0.3">
      <c r="B89" s="8" t="s">
        <v>92</v>
      </c>
    </row>
    <row r="90" spans="2:19" ht="201" customHeight="1" x14ac:dyDescent="0.3">
      <c r="B90" s="44" t="s">
        <v>129</v>
      </c>
      <c r="C90" s="44"/>
      <c r="D90" s="44"/>
      <c r="E90" s="44"/>
      <c r="F90" s="44"/>
      <c r="G90" s="44"/>
    </row>
    <row r="92" spans="2:19" x14ac:dyDescent="0.3">
      <c r="B92" s="7" t="s">
        <v>126</v>
      </c>
      <c r="S92" s="5"/>
    </row>
    <row r="93" spans="2:19" x14ac:dyDescent="0.3">
      <c r="B93" s="39" t="s">
        <v>26</v>
      </c>
      <c r="C93" s="39">
        <v>2019</v>
      </c>
      <c r="D93" s="39">
        <v>2020</v>
      </c>
      <c r="E93" s="39">
        <v>2021</v>
      </c>
      <c r="F93" s="50">
        <v>44652</v>
      </c>
    </row>
    <row r="94" spans="2:19" x14ac:dyDescent="0.3">
      <c r="B94" s="16" t="s">
        <v>27</v>
      </c>
      <c r="C94" s="36">
        <f>AVERAGE(E75:E76)</f>
        <v>0.79696357053847311</v>
      </c>
      <c r="D94" s="36">
        <f>AVERAGE(G75:G76)</f>
        <v>0.74691393882666723</v>
      </c>
      <c r="E94" s="36">
        <f>AVERAGE(I75:I76)</f>
        <v>1.1372338772449899</v>
      </c>
      <c r="F94" s="17">
        <f>AVERAGE(K75:K76)</f>
        <v>2.5844043017128024</v>
      </c>
    </row>
    <row r="95" spans="2:19" x14ac:dyDescent="0.3">
      <c r="B95" s="16" t="s">
        <v>28</v>
      </c>
      <c r="C95" s="36">
        <f>AVERAGE(E77:E79)</f>
        <v>0.36241610492478032</v>
      </c>
      <c r="D95" s="36">
        <f>AVERAGE(G77:G79)</f>
        <v>0.42507297331598942</v>
      </c>
      <c r="E95" s="36">
        <f>AVERAGE(I77:I79)</f>
        <v>0.65887359554670055</v>
      </c>
      <c r="F95" s="17">
        <f>AVERAGE(K77:K79)</f>
        <v>1.3135256186923154</v>
      </c>
    </row>
    <row r="96" spans="2:19" x14ac:dyDescent="0.3">
      <c r="B96" s="16" t="s">
        <v>29</v>
      </c>
      <c r="C96" s="36">
        <f>E80</f>
        <v>0.17944875098217275</v>
      </c>
      <c r="D96" s="36">
        <f>G80</f>
        <v>0.21860895770536601</v>
      </c>
      <c r="E96" s="36">
        <f>I80</f>
        <v>0.32492396492713999</v>
      </c>
      <c r="F96" s="17">
        <f>K80</f>
        <v>0.61411587367432929</v>
      </c>
    </row>
    <row r="97" spans="2:21" x14ac:dyDescent="0.3">
      <c r="B97" s="1"/>
      <c r="C97" s="71"/>
      <c r="D97" s="71"/>
      <c r="E97" s="71"/>
      <c r="F97" s="4"/>
    </row>
    <row r="98" spans="2:21" x14ac:dyDescent="0.3">
      <c r="B98" s="7" t="s">
        <v>127</v>
      </c>
      <c r="D98" s="71"/>
      <c r="E98" s="71"/>
      <c r="F98" s="4"/>
    </row>
    <row r="99" spans="2:21" x14ac:dyDescent="0.3">
      <c r="B99" s="39" t="s">
        <v>26</v>
      </c>
      <c r="C99" s="39" t="s">
        <v>128</v>
      </c>
      <c r="D99" s="71"/>
      <c r="E99" s="71"/>
      <c r="F99" s="4"/>
    </row>
    <row r="100" spans="2:21" x14ac:dyDescent="0.3">
      <c r="B100" s="16" t="s">
        <v>27</v>
      </c>
      <c r="C100" s="72">
        <f>65% * (1-C94/F94)</f>
        <v>0.44955677967774321</v>
      </c>
      <c r="D100" s="71"/>
      <c r="E100" s="71"/>
      <c r="F100" s="4"/>
    </row>
    <row r="101" spans="2:21" x14ac:dyDescent="0.3">
      <c r="B101" s="16" t="s">
        <v>28</v>
      </c>
      <c r="C101" s="72">
        <f>29% * (1-C95/F95)</f>
        <v>0.2099858237003252</v>
      </c>
      <c r="D101" s="71"/>
      <c r="E101" s="71"/>
      <c r="F101" s="4"/>
    </row>
    <row r="102" spans="2:21" x14ac:dyDescent="0.3">
      <c r="B102" s="16" t="s">
        <v>29</v>
      </c>
      <c r="C102" s="72">
        <f>6% * (1-C96/F96)</f>
        <v>4.2467600137885128E-2</v>
      </c>
      <c r="D102" s="71"/>
      <c r="E102" s="71"/>
      <c r="F102" s="4"/>
    </row>
    <row r="103" spans="2:21" x14ac:dyDescent="0.3">
      <c r="B103" s="16" t="s">
        <v>76</v>
      </c>
      <c r="C103" s="72">
        <f>SUM(C100:C102)</f>
        <v>0.70201020351595356</v>
      </c>
    </row>
    <row r="105" spans="2:21" ht="18" x14ac:dyDescent="0.4">
      <c r="B105" s="35" t="s">
        <v>121</v>
      </c>
      <c r="M105" s="6"/>
    </row>
    <row r="106" spans="2:21" x14ac:dyDescent="0.3">
      <c r="B106" s="8" t="s">
        <v>92</v>
      </c>
      <c r="M106" s="6"/>
    </row>
    <row r="107" spans="2:21" ht="127.5" customHeight="1" x14ac:dyDescent="0.3">
      <c r="B107" s="70" t="s">
        <v>125</v>
      </c>
      <c r="C107" s="70"/>
      <c r="D107" s="70"/>
      <c r="E107" s="70"/>
      <c r="F107" s="70"/>
      <c r="G107" s="70"/>
    </row>
    <row r="109" spans="2:21" x14ac:dyDescent="0.3">
      <c r="B109" s="8" t="s">
        <v>102</v>
      </c>
      <c r="D109" s="25" t="s">
        <v>38</v>
      </c>
      <c r="U109" s="6"/>
    </row>
    <row r="110" spans="2:21" x14ac:dyDescent="0.3">
      <c r="B110" s="63"/>
      <c r="D110" s="64">
        <v>0.29399999999999998</v>
      </c>
    </row>
    <row r="112" spans="2:21" x14ac:dyDescent="0.3">
      <c r="B112" s="7" t="s">
        <v>118</v>
      </c>
    </row>
    <row r="113" spans="2:21" ht="28" x14ac:dyDescent="0.3">
      <c r="B113" s="61" t="s">
        <v>11</v>
      </c>
      <c r="C113" s="61" t="s">
        <v>26</v>
      </c>
      <c r="D113" s="62" t="s">
        <v>117</v>
      </c>
    </row>
    <row r="114" spans="2:21" x14ac:dyDescent="0.3">
      <c r="B114" s="59" t="s">
        <v>12</v>
      </c>
      <c r="C114" s="59" t="s">
        <v>27</v>
      </c>
      <c r="D114" s="60">
        <f>(E75+K75)/2</f>
        <v>1.3190891048004021</v>
      </c>
    </row>
    <row r="115" spans="2:21" x14ac:dyDescent="0.3">
      <c r="B115" s="59" t="s">
        <v>13</v>
      </c>
      <c r="C115" s="59" t="s">
        <v>27</v>
      </c>
      <c r="D115" s="60">
        <f>(E76+K76)/2</f>
        <v>2.0622787674508736</v>
      </c>
    </row>
    <row r="116" spans="2:21" x14ac:dyDescent="0.3">
      <c r="B116" s="59" t="s">
        <v>14</v>
      </c>
      <c r="C116" s="59" t="s">
        <v>28</v>
      </c>
      <c r="D116" s="60">
        <f>(E77+K77)/2</f>
        <v>0.90119517470954258</v>
      </c>
    </row>
    <row r="117" spans="2:21" x14ac:dyDescent="0.3">
      <c r="B117" s="59" t="s">
        <v>15</v>
      </c>
      <c r="C117" s="59" t="s">
        <v>28</v>
      </c>
      <c r="D117" s="60">
        <f>(E78+K78)/2</f>
        <v>0.16040959445956177</v>
      </c>
    </row>
    <row r="118" spans="2:21" x14ac:dyDescent="0.3">
      <c r="B118" s="59" t="s">
        <v>16</v>
      </c>
      <c r="C118" s="59" t="s">
        <v>28</v>
      </c>
      <c r="D118" s="60">
        <f>(E79+K79)/2</f>
        <v>1.4523078162565395</v>
      </c>
    </row>
    <row r="119" spans="2:21" x14ac:dyDescent="0.3">
      <c r="B119" s="59" t="s">
        <v>17</v>
      </c>
      <c r="C119" s="59" t="s">
        <v>29</v>
      </c>
      <c r="D119" s="60">
        <f>(E80+K80)/2</f>
        <v>0.39678231232825101</v>
      </c>
    </row>
    <row r="120" spans="2:21" x14ac:dyDescent="0.3">
      <c r="B120" s="8"/>
    </row>
    <row r="121" spans="2:21" x14ac:dyDescent="0.3">
      <c r="B121" s="7" t="s">
        <v>119</v>
      </c>
    </row>
    <row r="122" spans="2:21" x14ac:dyDescent="0.3">
      <c r="C122" s="67">
        <v>44652</v>
      </c>
      <c r="E122" s="67">
        <v>44682</v>
      </c>
      <c r="H122" s="67">
        <v>44713</v>
      </c>
      <c r="J122" s="68">
        <v>44743</v>
      </c>
      <c r="K122" s="69"/>
      <c r="L122" s="68">
        <v>44774</v>
      </c>
      <c r="M122" s="69"/>
      <c r="N122" s="68">
        <v>44805</v>
      </c>
      <c r="O122" s="69"/>
      <c r="P122" s="68">
        <v>44835</v>
      </c>
      <c r="Q122" s="69"/>
      <c r="R122" s="68">
        <v>44866</v>
      </c>
      <c r="S122" s="69"/>
      <c r="T122" s="68">
        <v>44896</v>
      </c>
      <c r="U122" s="69"/>
    </row>
    <row r="123" spans="2:21" x14ac:dyDescent="0.3">
      <c r="B123" s="40" t="s">
        <v>11</v>
      </c>
      <c r="C123" s="40" t="s">
        <v>120</v>
      </c>
      <c r="D123" s="40" t="s">
        <v>37</v>
      </c>
      <c r="E123" s="40" t="s">
        <v>123</v>
      </c>
      <c r="F123" s="40" t="s">
        <v>124</v>
      </c>
      <c r="G123" s="40" t="s">
        <v>37</v>
      </c>
      <c r="H123" s="40" t="s">
        <v>123</v>
      </c>
      <c r="I123" s="40" t="s">
        <v>124</v>
      </c>
      <c r="J123" s="21" t="s">
        <v>123</v>
      </c>
      <c r="K123" s="21" t="s">
        <v>124</v>
      </c>
      <c r="L123" s="21" t="s">
        <v>120</v>
      </c>
      <c r="M123" s="21" t="s">
        <v>124</v>
      </c>
      <c r="N123" s="21" t="s">
        <v>123</v>
      </c>
      <c r="O123" s="21" t="s">
        <v>124</v>
      </c>
      <c r="P123" s="21" t="s">
        <v>123</v>
      </c>
      <c r="Q123" s="21" t="s">
        <v>124</v>
      </c>
      <c r="R123" s="21" t="s">
        <v>123</v>
      </c>
      <c r="S123" s="21" t="s">
        <v>124</v>
      </c>
      <c r="T123" s="21" t="s">
        <v>123</v>
      </c>
      <c r="U123" s="21" t="s">
        <v>124</v>
      </c>
    </row>
    <row r="124" spans="2:21" x14ac:dyDescent="0.3">
      <c r="B124" s="16" t="s">
        <v>12</v>
      </c>
      <c r="C124" s="16">
        <v>40</v>
      </c>
      <c r="D124" s="66">
        <f>C124*(1-$D$110)</f>
        <v>28.24</v>
      </c>
      <c r="E124" s="65">
        <f>D114*$H$30</f>
        <v>33.507992411540961</v>
      </c>
      <c r="F124" s="65">
        <f>E124-D124</f>
        <v>5.2679924115409626</v>
      </c>
      <c r="G124" s="65">
        <f>E124*(1- $D$110)</f>
        <v>23.656642642547919</v>
      </c>
      <c r="H124" s="65">
        <f>D114*$H$31</f>
        <v>43.560390135003253</v>
      </c>
      <c r="I124" s="65">
        <f>H124 - E124*(1-$D$110)</f>
        <v>19.903747492455334</v>
      </c>
      <c r="J124" s="65">
        <f>$D114*(I$23+I$24)</f>
        <v>56.628507175504232</v>
      </c>
      <c r="K124" s="65">
        <f>J124 - H124*(1-$D$110)</f>
        <v>25.874871740191939</v>
      </c>
      <c r="L124" s="65">
        <f>$D114*(J$23+J$24)</f>
        <v>73.617059328155491</v>
      </c>
      <c r="M124" s="65">
        <f>L124 - J124*(1-$D$110)</f>
        <v>33.637333262249506</v>
      </c>
      <c r="N124" s="65">
        <f>$D114*(K$23+K$24)</f>
        <v>95.702177126602152</v>
      </c>
      <c r="O124" s="65">
        <f>N124 - L124*(1-$D$110)</f>
        <v>43.728533240924378</v>
      </c>
      <c r="P124" s="65">
        <f>$D114*(L$23+L$24)</f>
        <v>124.41283026458278</v>
      </c>
      <c r="Q124" s="36">
        <f>P124 - N124*(1-$D$110)</f>
        <v>56.84709321320166</v>
      </c>
      <c r="R124" s="65">
        <f>$D114*(M$23+M$24)</f>
        <v>161.7366793439576</v>
      </c>
      <c r="S124" s="36">
        <f>R124 - P124*(1-$D$110)</f>
        <v>73.901221177162171</v>
      </c>
      <c r="T124" s="65">
        <f>$D114*(N$23+N$24)</f>
        <v>210.25768314714492</v>
      </c>
      <c r="U124" s="36">
        <f>T124 - R124*(1-$D$110)</f>
        <v>96.07158753031085</v>
      </c>
    </row>
    <row r="125" spans="2:21" x14ac:dyDescent="0.3">
      <c r="B125" s="16" t="s">
        <v>13</v>
      </c>
      <c r="C125" s="16">
        <v>61</v>
      </c>
      <c r="D125" s="66">
        <f t="shared" ref="D125:D136" si="12">C125*(1-$D$110)</f>
        <v>43.065999999999995</v>
      </c>
      <c r="E125" s="65">
        <f t="shared" ref="E125:E129" si="13">D115*$H$30</f>
        <v>52.386772841006987</v>
      </c>
      <c r="F125" s="65">
        <f t="shared" ref="F125:F136" si="14">E125-D125</f>
        <v>9.3207728410069919</v>
      </c>
      <c r="G125" s="65">
        <f t="shared" ref="G125:G136" si="15">E125*(1- $D$110)</f>
        <v>36.98506162575093</v>
      </c>
      <c r="H125" s="65">
        <f t="shared" ref="H125:H129" si="16">D115*$H$31</f>
        <v>68.102804693309082</v>
      </c>
      <c r="I125" s="65">
        <f t="shared" ref="I125:I129" si="17">H125 - E125*(1-$D$110)</f>
        <v>31.117743067558152</v>
      </c>
      <c r="J125" s="65">
        <f>$D115*(I$23+I$24)</f>
        <v>88.533646101301812</v>
      </c>
      <c r="K125" s="65">
        <f>J125 - H125*(1-$D$110)</f>
        <v>40.453065987825603</v>
      </c>
      <c r="L125" s="65">
        <f>$D115*(J$23+J$24)</f>
        <v>115.09373993169234</v>
      </c>
      <c r="M125" s="65">
        <f>L125 - J125*(1-$D$110)</f>
        <v>52.588985784173268</v>
      </c>
      <c r="N125" s="65">
        <f>$D115*(K$23+K$24)</f>
        <v>149.62186191120006</v>
      </c>
      <c r="O125" s="65">
        <f>N125 - L125*(1-$D$110)</f>
        <v>68.365681519425266</v>
      </c>
      <c r="P125" s="65">
        <f>$D115*(L$23+L$24)</f>
        <v>194.50842048456008</v>
      </c>
      <c r="Q125" s="36">
        <f>P125 - N125*(1-$D$110)</f>
        <v>88.87538597525284</v>
      </c>
      <c r="R125" s="65">
        <f>$D115*(M$23+M$24)</f>
        <v>252.86094662992807</v>
      </c>
      <c r="S125" s="36">
        <f>R125 - P125*(1-$D$110)</f>
        <v>115.53800176782866</v>
      </c>
      <c r="T125" s="65">
        <f>$D115*(N$23+N$24)</f>
        <v>328.71923061890652</v>
      </c>
      <c r="U125" s="36">
        <f>T125 - R125*(1-$D$110)</f>
        <v>150.19940229817732</v>
      </c>
    </row>
    <row r="126" spans="2:21" x14ac:dyDescent="0.3">
      <c r="B126" s="16" t="s">
        <v>14</v>
      </c>
      <c r="C126" s="16">
        <v>28</v>
      </c>
      <c r="D126" s="66">
        <f t="shared" si="12"/>
        <v>19.768000000000001</v>
      </c>
      <c r="E126" s="65">
        <f t="shared" si="13"/>
        <v>22.892495257213106</v>
      </c>
      <c r="F126" s="65">
        <f t="shared" si="14"/>
        <v>3.1244952572131055</v>
      </c>
      <c r="G126" s="65">
        <f t="shared" si="15"/>
        <v>16.162101651592451</v>
      </c>
      <c r="H126" s="65">
        <f t="shared" si="16"/>
        <v>29.760243834377036</v>
      </c>
      <c r="I126" s="65">
        <f t="shared" si="17"/>
        <v>13.598142182784585</v>
      </c>
      <c r="J126" s="65">
        <f>$D116*(I$23+I$24)</f>
        <v>38.688316984690147</v>
      </c>
      <c r="K126" s="65">
        <f>J126 - H126*(1-$D$110)</f>
        <v>17.67758483761996</v>
      </c>
      <c r="L126" s="65">
        <f>$D116*(J$23+J$24)</f>
        <v>50.294812080097188</v>
      </c>
      <c r="M126" s="65">
        <f>L126 - J126*(1-$D$110)</f>
        <v>22.980860288905944</v>
      </c>
      <c r="N126" s="65">
        <f>$D116*(K$23+K$24)</f>
        <v>65.383255704126356</v>
      </c>
      <c r="O126" s="65">
        <f>N126 - L126*(1-$D$110)</f>
        <v>29.875118375577742</v>
      </c>
      <c r="P126" s="65">
        <f>$D116*(L$23+L$24)</f>
        <v>84.998232415364257</v>
      </c>
      <c r="Q126" s="36">
        <f>P126 - N126*(1-$D$110)</f>
        <v>38.837653888251054</v>
      </c>
      <c r="R126" s="65">
        <f>$D116*(M$23+M$24)</f>
        <v>110.49770213997353</v>
      </c>
      <c r="S126" s="36">
        <f>R126 - P126*(1-$D$110)</f>
        <v>50.488950054726367</v>
      </c>
      <c r="T126" s="65">
        <f>$D116*(N$23+N$24)</f>
        <v>143.64701278196557</v>
      </c>
      <c r="U126" s="36">
        <f>T126 - R126*(1-$D$110)</f>
        <v>65.635635071144264</v>
      </c>
    </row>
    <row r="127" spans="2:21" x14ac:dyDescent="0.3">
      <c r="B127" s="16" t="s">
        <v>15</v>
      </c>
      <c r="C127" s="16">
        <v>4</v>
      </c>
      <c r="D127" s="66">
        <f t="shared" si="12"/>
        <v>2.8239999999999998</v>
      </c>
      <c r="E127" s="65">
        <f t="shared" si="13"/>
        <v>4.0747842236955458</v>
      </c>
      <c r="F127" s="65">
        <f t="shared" si="14"/>
        <v>1.250784223695546</v>
      </c>
      <c r="G127" s="65">
        <f t="shared" si="15"/>
        <v>2.8767976619290554</v>
      </c>
      <c r="H127" s="65">
        <f t="shared" si="16"/>
        <v>5.2972194908042098</v>
      </c>
      <c r="I127" s="65">
        <f t="shared" si="17"/>
        <v>2.4204218288751544</v>
      </c>
      <c r="J127" s="65">
        <f>$D117*(I$23+I$24)</f>
        <v>6.8863853380454731</v>
      </c>
      <c r="K127" s="65">
        <f>J127 - H127*(1-$D$110)</f>
        <v>3.1465483775377012</v>
      </c>
      <c r="L127" s="65">
        <f>$D117*(J$23+J$24)</f>
        <v>8.9523009394591142</v>
      </c>
      <c r="M127" s="65">
        <f>L127 - J127*(1-$D$110)</f>
        <v>4.09051289079901</v>
      </c>
      <c r="N127" s="65">
        <f>$D117*(K$23+K$24)</f>
        <v>11.637991221296849</v>
      </c>
      <c r="O127" s="65">
        <f>N127 - L127*(1-$D$110)</f>
        <v>5.3176667580387145</v>
      </c>
      <c r="P127" s="65">
        <f>$D117*(L$23+L$24)</f>
        <v>15.129388587685902</v>
      </c>
      <c r="Q127" s="36">
        <f>P127 - N127*(1-$D$110)</f>
        <v>6.9129667854503278</v>
      </c>
      <c r="R127" s="65">
        <f>$D117*(M$23+M$24)</f>
        <v>19.668205163991672</v>
      </c>
      <c r="S127" s="36">
        <f>R127 - P127*(1-$D$110)</f>
        <v>8.9868568210854249</v>
      </c>
      <c r="T127" s="65">
        <f>$D117*(N$23+N$24)</f>
        <v>25.568666713189174</v>
      </c>
      <c r="U127" s="36">
        <f>T127 - R127*(1-$D$110)</f>
        <v>11.682913867411054</v>
      </c>
    </row>
    <row r="128" spans="2:21" x14ac:dyDescent="0.3">
      <c r="B128" s="16" t="s">
        <v>16</v>
      </c>
      <c r="C128" s="16">
        <v>45</v>
      </c>
      <c r="D128" s="66">
        <f t="shared" si="12"/>
        <v>31.77</v>
      </c>
      <c r="E128" s="65">
        <f t="shared" si="13"/>
        <v>36.892063704604197</v>
      </c>
      <c r="F128" s="65">
        <f t="shared" si="14"/>
        <v>5.1220637046041979</v>
      </c>
      <c r="G128" s="65">
        <f t="shared" si="15"/>
        <v>26.04579697545056</v>
      </c>
      <c r="H128" s="65">
        <f t="shared" si="16"/>
        <v>47.959682815985452</v>
      </c>
      <c r="I128" s="65">
        <f t="shared" si="17"/>
        <v>21.913885840534892</v>
      </c>
      <c r="J128" s="65">
        <f>$D118*(I$23+I$24)</f>
        <v>62.347587660781087</v>
      </c>
      <c r="K128" s="65">
        <f>J128 - H128*(1-$D$110)</f>
        <v>28.488051592695363</v>
      </c>
      <c r="L128" s="65">
        <f>$D118*(J$23+J$24)</f>
        <v>81.051863959015407</v>
      </c>
      <c r="M128" s="65">
        <f>L128 - J128*(1-$D$110)</f>
        <v>37.034467070503965</v>
      </c>
      <c r="N128" s="65">
        <f>$D118*(K$23+K$24)</f>
        <v>105.36742314672004</v>
      </c>
      <c r="O128" s="65">
        <f>N128 - L128*(1-$D$110)</f>
        <v>48.144807191655168</v>
      </c>
      <c r="P128" s="65">
        <f>$D118*(L$23+L$24)</f>
        <v>136.97765009073606</v>
      </c>
      <c r="Q128" s="36">
        <f>P128 - N128*(1-$D$110)</f>
        <v>62.58824934915171</v>
      </c>
      <c r="R128" s="65">
        <f>$D118*(M$23+M$24)</f>
        <v>178.07094511795685</v>
      </c>
      <c r="S128" s="36">
        <f>R128 - P128*(1-$D$110)</f>
        <v>81.3647241538972</v>
      </c>
      <c r="T128" s="65">
        <f>$D118*(N$23+N$24)</f>
        <v>231.49222865334391</v>
      </c>
      <c r="U128" s="36">
        <f>T128 - R128*(1-$D$110)</f>
        <v>105.77414140006638</v>
      </c>
    </row>
    <row r="129" spans="2:21" x14ac:dyDescent="0.3">
      <c r="B129" s="16" t="s">
        <v>17</v>
      </c>
      <c r="C129" s="16">
        <v>12</v>
      </c>
      <c r="D129" s="66">
        <f t="shared" si="12"/>
        <v>8.4719999999999995</v>
      </c>
      <c r="E129" s="65">
        <f t="shared" si="13"/>
        <v>10.079211982074934</v>
      </c>
      <c r="F129" s="65">
        <f t="shared" si="14"/>
        <v>1.6072119820749347</v>
      </c>
      <c r="G129" s="65">
        <f t="shared" si="15"/>
        <v>7.1159236593449036</v>
      </c>
      <c r="H129" s="65">
        <f t="shared" si="16"/>
        <v>13.102975576697414</v>
      </c>
      <c r="I129" s="65">
        <f t="shared" si="17"/>
        <v>5.9870519173525105</v>
      </c>
      <c r="J129" s="65">
        <f>$D119*(I$23+I$24)</f>
        <v>17.033868249706639</v>
      </c>
      <c r="K129" s="65">
        <f>J129 - H129*(1-$D$110)</f>
        <v>7.783167492558265</v>
      </c>
      <c r="L129" s="65">
        <f>$D119*(J$23+J$24)</f>
        <v>22.144028724618629</v>
      </c>
      <c r="M129" s="65">
        <f>L129 - J129*(1-$D$110)</f>
        <v>10.118117740325742</v>
      </c>
      <c r="N129" s="65">
        <f>$D119*(K$23+K$24)</f>
        <v>28.787237342004222</v>
      </c>
      <c r="O129" s="65">
        <f>N129 - L129*(1-$D$110)</f>
        <v>13.153553062423471</v>
      </c>
      <c r="P129" s="65">
        <f>$D119*(L$23+L$24)</f>
        <v>37.423408544605486</v>
      </c>
      <c r="Q129" s="36">
        <f>P129 - N129*(1-$D$110)</f>
        <v>17.099618981150506</v>
      </c>
      <c r="R129" s="65">
        <f>$D119*(M$23+M$24)</f>
        <v>48.650431107987124</v>
      </c>
      <c r="S129" s="36">
        <f>R129 - P129*(1-$D$110)</f>
        <v>22.229504675495651</v>
      </c>
      <c r="T129" s="65">
        <f>$D119*(N$23+N$24)</f>
        <v>63.245560440383265</v>
      </c>
      <c r="U129" s="36">
        <f>T129 - R129*(1-$D$110)</f>
        <v>28.89835607814436</v>
      </c>
    </row>
    <row r="130" spans="2:21" x14ac:dyDescent="0.3">
      <c r="B130" s="16" t="s">
        <v>18</v>
      </c>
      <c r="C130" s="16">
        <v>17</v>
      </c>
      <c r="D130" s="66">
        <f t="shared" si="12"/>
        <v>12.001999999999999</v>
      </c>
      <c r="E130" s="65">
        <v>17</v>
      </c>
      <c r="F130" s="65">
        <f t="shared" si="14"/>
        <v>4.9980000000000011</v>
      </c>
      <c r="G130" s="65">
        <f t="shared" si="15"/>
        <v>12.001999999999999</v>
      </c>
      <c r="H130" s="65">
        <v>17</v>
      </c>
      <c r="I130" s="65">
        <v>5</v>
      </c>
      <c r="J130" s="65">
        <f>H130</f>
        <v>17</v>
      </c>
      <c r="K130" s="65">
        <f>J130 - H130*(1-$D$110)</f>
        <v>4.9980000000000011</v>
      </c>
      <c r="L130" s="65">
        <f t="shared" ref="L130:L136" si="18">J130</f>
        <v>17</v>
      </c>
      <c r="M130" s="65">
        <f>L130 - J130*(1-$D$110)</f>
        <v>4.9980000000000011</v>
      </c>
      <c r="N130" s="65">
        <f t="shared" ref="N130:N136" si="19">L130</f>
        <v>17</v>
      </c>
      <c r="O130" s="65">
        <f>N130 - L130*(1-$D$110)</f>
        <v>4.9980000000000011</v>
      </c>
      <c r="P130" s="65">
        <f t="shared" ref="P130:P136" si="20">N130</f>
        <v>17</v>
      </c>
      <c r="Q130" s="36">
        <f>P130 - N130*(1-$D$110)</f>
        <v>4.9980000000000011</v>
      </c>
      <c r="R130" s="65">
        <f t="shared" ref="R130:R136" si="21">P130</f>
        <v>17</v>
      </c>
      <c r="S130" s="36">
        <f>R130 - P130*(1-$D$110)</f>
        <v>4.9980000000000011</v>
      </c>
      <c r="T130" s="65">
        <f t="shared" ref="T130:T136" si="22">R130</f>
        <v>17</v>
      </c>
      <c r="U130" s="36">
        <f>T130 - R130*(1-$D$110)</f>
        <v>4.9980000000000011</v>
      </c>
    </row>
    <row r="131" spans="2:21" x14ac:dyDescent="0.3">
      <c r="B131" s="16" t="s">
        <v>19</v>
      </c>
      <c r="C131" s="16">
        <v>15</v>
      </c>
      <c r="D131" s="66">
        <f t="shared" si="12"/>
        <v>10.59</v>
      </c>
      <c r="E131" s="65">
        <v>15</v>
      </c>
      <c r="F131" s="65">
        <f t="shared" si="14"/>
        <v>4.41</v>
      </c>
      <c r="G131" s="65">
        <f t="shared" si="15"/>
        <v>10.59</v>
      </c>
      <c r="H131" s="65">
        <v>15</v>
      </c>
      <c r="I131" s="65">
        <v>4</v>
      </c>
      <c r="J131" s="65">
        <f t="shared" ref="J131:J136" si="23">H131</f>
        <v>15</v>
      </c>
      <c r="K131" s="65">
        <f>J131 - H131*(1-$D$110)</f>
        <v>4.41</v>
      </c>
      <c r="L131" s="65">
        <f t="shared" si="18"/>
        <v>15</v>
      </c>
      <c r="M131" s="65">
        <f>L131 - J131*(1-$D$110)</f>
        <v>4.41</v>
      </c>
      <c r="N131" s="65">
        <f t="shared" si="19"/>
        <v>15</v>
      </c>
      <c r="O131" s="65">
        <f>N131 - L131*(1-$D$110)</f>
        <v>4.41</v>
      </c>
      <c r="P131" s="65">
        <f t="shared" si="20"/>
        <v>15</v>
      </c>
      <c r="Q131" s="36">
        <f>P131 - N131*(1-$D$110)</f>
        <v>4.41</v>
      </c>
      <c r="R131" s="65">
        <f t="shared" si="21"/>
        <v>15</v>
      </c>
      <c r="S131" s="36">
        <f>R131 - P131*(1-$D$110)</f>
        <v>4.41</v>
      </c>
      <c r="T131" s="65">
        <f t="shared" si="22"/>
        <v>15</v>
      </c>
      <c r="U131" s="36">
        <f>T131 - R131*(1-$D$110)</f>
        <v>4.41</v>
      </c>
    </row>
    <row r="132" spans="2:21" x14ac:dyDescent="0.3">
      <c r="B132" s="16" t="s">
        <v>20</v>
      </c>
      <c r="C132" s="16">
        <v>4</v>
      </c>
      <c r="D132" s="66">
        <f t="shared" si="12"/>
        <v>2.8239999999999998</v>
      </c>
      <c r="E132" s="65">
        <v>4</v>
      </c>
      <c r="F132" s="65">
        <f t="shared" si="14"/>
        <v>1.1760000000000002</v>
      </c>
      <c r="G132" s="65">
        <f t="shared" si="15"/>
        <v>2.8239999999999998</v>
      </c>
      <c r="H132" s="65">
        <v>4</v>
      </c>
      <c r="I132" s="65">
        <v>1</v>
      </c>
      <c r="J132" s="65">
        <f t="shared" si="23"/>
        <v>4</v>
      </c>
      <c r="K132" s="65">
        <f>J132 - H132*(1-$D$110)</f>
        <v>1.1760000000000002</v>
      </c>
      <c r="L132" s="65">
        <f t="shared" si="18"/>
        <v>4</v>
      </c>
      <c r="M132" s="65">
        <f>L132 - J132*(1-$D$110)</f>
        <v>1.1760000000000002</v>
      </c>
      <c r="N132" s="65">
        <f t="shared" si="19"/>
        <v>4</v>
      </c>
      <c r="O132" s="65">
        <f>N132 - L132*(1-$D$110)</f>
        <v>1.1760000000000002</v>
      </c>
      <c r="P132" s="65">
        <f t="shared" si="20"/>
        <v>4</v>
      </c>
      <c r="Q132" s="36">
        <f>P132 - N132*(1-$D$110)</f>
        <v>1.1760000000000002</v>
      </c>
      <c r="R132" s="65">
        <f t="shared" si="21"/>
        <v>4</v>
      </c>
      <c r="S132" s="36">
        <f>R132 - P132*(1-$D$110)</f>
        <v>1.1760000000000002</v>
      </c>
      <c r="T132" s="65">
        <f t="shared" si="22"/>
        <v>4</v>
      </c>
      <c r="U132" s="36">
        <f>T132 - R132*(1-$D$110)</f>
        <v>1.1760000000000002</v>
      </c>
    </row>
    <row r="133" spans="2:21" x14ac:dyDescent="0.3">
      <c r="B133" s="16" t="s">
        <v>21</v>
      </c>
      <c r="C133" s="16">
        <v>4</v>
      </c>
      <c r="D133" s="66">
        <f t="shared" si="12"/>
        <v>2.8239999999999998</v>
      </c>
      <c r="E133" s="65">
        <v>4</v>
      </c>
      <c r="F133" s="65">
        <f t="shared" si="14"/>
        <v>1.1760000000000002</v>
      </c>
      <c r="G133" s="65">
        <f t="shared" si="15"/>
        <v>2.8239999999999998</v>
      </c>
      <c r="H133" s="65">
        <v>4</v>
      </c>
      <c r="I133" s="65">
        <v>1</v>
      </c>
      <c r="J133" s="65">
        <f t="shared" si="23"/>
        <v>4</v>
      </c>
      <c r="K133" s="65">
        <f>J133 - H133*(1-$D$110)</f>
        <v>1.1760000000000002</v>
      </c>
      <c r="L133" s="65">
        <f t="shared" si="18"/>
        <v>4</v>
      </c>
      <c r="M133" s="65">
        <f>L133 - J133*(1-$D$110)</f>
        <v>1.1760000000000002</v>
      </c>
      <c r="N133" s="65">
        <f t="shared" si="19"/>
        <v>4</v>
      </c>
      <c r="O133" s="65">
        <f>N133 - L133*(1-$D$110)</f>
        <v>1.1760000000000002</v>
      </c>
      <c r="P133" s="65">
        <f t="shared" si="20"/>
        <v>4</v>
      </c>
      <c r="Q133" s="36">
        <f>P133 - N133*(1-$D$110)</f>
        <v>1.1760000000000002</v>
      </c>
      <c r="R133" s="65">
        <f t="shared" si="21"/>
        <v>4</v>
      </c>
      <c r="S133" s="36">
        <f>R133 - P133*(1-$D$110)</f>
        <v>1.1760000000000002</v>
      </c>
      <c r="T133" s="65">
        <f t="shared" si="22"/>
        <v>4</v>
      </c>
      <c r="U133" s="36">
        <f>T133 - R133*(1-$D$110)</f>
        <v>1.1760000000000002</v>
      </c>
    </row>
    <row r="134" spans="2:21" x14ac:dyDescent="0.3">
      <c r="B134" s="16" t="s">
        <v>22</v>
      </c>
      <c r="C134" s="16">
        <v>12</v>
      </c>
      <c r="D134" s="66">
        <f t="shared" si="12"/>
        <v>8.4719999999999995</v>
      </c>
      <c r="E134" s="65">
        <v>12</v>
      </c>
      <c r="F134" s="65">
        <f t="shared" si="14"/>
        <v>3.5280000000000005</v>
      </c>
      <c r="G134" s="65">
        <f t="shared" si="15"/>
        <v>8.4719999999999995</v>
      </c>
      <c r="H134" s="65">
        <v>12</v>
      </c>
      <c r="I134" s="65">
        <v>4</v>
      </c>
      <c r="J134" s="65">
        <f t="shared" si="23"/>
        <v>12</v>
      </c>
      <c r="K134" s="65">
        <f>J134 - H134*(1-$D$110)</f>
        <v>3.5280000000000005</v>
      </c>
      <c r="L134" s="65">
        <f t="shared" si="18"/>
        <v>12</v>
      </c>
      <c r="M134" s="65">
        <f>L134 - J134*(1-$D$110)</f>
        <v>3.5280000000000005</v>
      </c>
      <c r="N134" s="65">
        <f t="shared" si="19"/>
        <v>12</v>
      </c>
      <c r="O134" s="65">
        <f>N134 - L134*(1-$D$110)</f>
        <v>3.5280000000000005</v>
      </c>
      <c r="P134" s="65">
        <f t="shared" si="20"/>
        <v>12</v>
      </c>
      <c r="Q134" s="36">
        <f>P134 - N134*(1-$D$110)</f>
        <v>3.5280000000000005</v>
      </c>
      <c r="R134" s="65">
        <f t="shared" si="21"/>
        <v>12</v>
      </c>
      <c r="S134" s="36">
        <f>R134 - P134*(1-$D$110)</f>
        <v>3.5280000000000005</v>
      </c>
      <c r="T134" s="65">
        <f t="shared" si="22"/>
        <v>12</v>
      </c>
      <c r="U134" s="36">
        <f>T134 - R134*(1-$D$110)</f>
        <v>3.5280000000000005</v>
      </c>
    </row>
    <row r="135" spans="2:21" x14ac:dyDescent="0.3">
      <c r="B135" s="16" t="s">
        <v>23</v>
      </c>
      <c r="C135" s="16">
        <v>17</v>
      </c>
      <c r="D135" s="66">
        <f t="shared" si="12"/>
        <v>12.001999999999999</v>
      </c>
      <c r="E135" s="65">
        <v>17</v>
      </c>
      <c r="F135" s="65">
        <f t="shared" si="14"/>
        <v>4.9980000000000011</v>
      </c>
      <c r="G135" s="65">
        <f t="shared" si="15"/>
        <v>12.001999999999999</v>
      </c>
      <c r="H135" s="65">
        <v>17</v>
      </c>
      <c r="I135" s="65">
        <v>5</v>
      </c>
      <c r="J135" s="65">
        <f t="shared" si="23"/>
        <v>17</v>
      </c>
      <c r="K135" s="65">
        <f>J135 - H135*(1-$D$110)</f>
        <v>4.9980000000000011</v>
      </c>
      <c r="L135" s="65">
        <f t="shared" si="18"/>
        <v>17</v>
      </c>
      <c r="M135" s="65">
        <f>L135 - J135*(1-$D$110)</f>
        <v>4.9980000000000011</v>
      </c>
      <c r="N135" s="65">
        <f t="shared" si="19"/>
        <v>17</v>
      </c>
      <c r="O135" s="65">
        <f>N135 - L135*(1-$D$110)</f>
        <v>4.9980000000000011</v>
      </c>
      <c r="P135" s="65">
        <f t="shared" si="20"/>
        <v>17</v>
      </c>
      <c r="Q135" s="36">
        <f>P135 - N135*(1-$D$110)</f>
        <v>4.9980000000000011</v>
      </c>
      <c r="R135" s="65">
        <f t="shared" si="21"/>
        <v>17</v>
      </c>
      <c r="S135" s="36">
        <f>R135 - P135*(1-$D$110)</f>
        <v>4.9980000000000011</v>
      </c>
      <c r="T135" s="65">
        <f t="shared" si="22"/>
        <v>17</v>
      </c>
      <c r="U135" s="36">
        <f>T135 - R135*(1-$D$110)</f>
        <v>4.9980000000000011</v>
      </c>
    </row>
    <row r="136" spans="2:21" x14ac:dyDescent="0.3">
      <c r="B136" s="16" t="s">
        <v>24</v>
      </c>
      <c r="C136" s="16">
        <v>4</v>
      </c>
      <c r="D136" s="66">
        <f t="shared" si="12"/>
        <v>2.8239999999999998</v>
      </c>
      <c r="E136" s="65">
        <v>4</v>
      </c>
      <c r="F136" s="65">
        <f t="shared" si="14"/>
        <v>1.1760000000000002</v>
      </c>
      <c r="G136" s="65">
        <f t="shared" si="15"/>
        <v>2.8239999999999998</v>
      </c>
      <c r="H136" s="65">
        <v>4</v>
      </c>
      <c r="I136" s="65">
        <v>1</v>
      </c>
      <c r="J136" s="65">
        <f t="shared" si="23"/>
        <v>4</v>
      </c>
      <c r="K136" s="65">
        <f>J136 - H136*(1-$D$110)</f>
        <v>1.1760000000000002</v>
      </c>
      <c r="L136" s="65">
        <f t="shared" si="18"/>
        <v>4</v>
      </c>
      <c r="M136" s="65">
        <f>L136 - J136*(1-$D$110)</f>
        <v>1.1760000000000002</v>
      </c>
      <c r="N136" s="65">
        <f t="shared" si="19"/>
        <v>4</v>
      </c>
      <c r="O136" s="65">
        <f>N136 - L136*(1-$D$110)</f>
        <v>1.1760000000000002</v>
      </c>
      <c r="P136" s="65">
        <f t="shared" si="20"/>
        <v>4</v>
      </c>
      <c r="Q136" s="36">
        <f>P136 - N136*(1-$D$110)</f>
        <v>1.1760000000000002</v>
      </c>
      <c r="R136" s="65">
        <f t="shared" si="21"/>
        <v>4</v>
      </c>
      <c r="S136" s="36">
        <f>R136 - P136*(1-$D$110)</f>
        <v>1.1760000000000002</v>
      </c>
      <c r="T136" s="65">
        <f t="shared" si="22"/>
        <v>4</v>
      </c>
      <c r="U136" s="36">
        <f>T136 - R136*(1-$D$110)</f>
        <v>1.1760000000000002</v>
      </c>
    </row>
    <row r="137" spans="2:21" x14ac:dyDescent="0.3">
      <c r="B137" s="39" t="s">
        <v>25</v>
      </c>
      <c r="C137" s="16">
        <v>263</v>
      </c>
      <c r="D137" s="66">
        <v>186</v>
      </c>
      <c r="E137" s="66">
        <v>232.83332042013575</v>
      </c>
      <c r="F137" s="66">
        <v>46.833320420135735</v>
      </c>
      <c r="G137" s="66">
        <v>165</v>
      </c>
      <c r="H137" s="66">
        <v>280.78331654617642</v>
      </c>
      <c r="I137" s="66">
        <v>115.78331654617645</v>
      </c>
      <c r="J137" s="66">
        <f t="shared" ref="J137" si="24">SUM(J124:J136)</f>
        <v>343.1183115100294</v>
      </c>
      <c r="K137" s="66">
        <f t="shared" ref="K137" si="25">SUM(K124:K136)</f>
        <v>144.88529002842878</v>
      </c>
      <c r="L137" s="66">
        <f t="shared" ref="L137" si="26">SUM(L124:L136)</f>
        <v>424.15380496303817</v>
      </c>
      <c r="M137" s="66">
        <f t="shared" ref="M137" si="27">SUM(M124:M136)</f>
        <v>181.91227703695736</v>
      </c>
      <c r="N137" s="66">
        <f t="shared" ref="N137" si="28">SUM(N124:N136)</f>
        <v>529.49994645194965</v>
      </c>
      <c r="O137" s="66">
        <f t="shared" ref="O137" si="29">SUM(O124:O136)</f>
        <v>230.04736014804467</v>
      </c>
      <c r="P137" s="66">
        <f t="shared" ref="P137" si="30">SUM(P124:P136)</f>
        <v>666.44993038753466</v>
      </c>
      <c r="Q137" s="66">
        <f t="shared" ref="Q137" si="31">SUM(Q124:Q136)</f>
        <v>292.62296819245807</v>
      </c>
      <c r="R137" s="66">
        <f t="shared" ref="R137" si="32">SUM(R124:R136)</f>
        <v>844.48490950379494</v>
      </c>
      <c r="S137" s="66">
        <f t="shared" ref="S137" si="33">SUM(S124:S136)</f>
        <v>373.97125865019547</v>
      </c>
      <c r="T137" s="66">
        <f t="shared" ref="T137" si="34">SUM(T124:T136)</f>
        <v>1075.9303823549335</v>
      </c>
      <c r="U137" s="66">
        <f t="shared" ref="U137" si="35">SUM(U124:U136)</f>
        <v>479.7240362452543</v>
      </c>
    </row>
    <row r="139" spans="2:21" ht="18" x14ac:dyDescent="0.4">
      <c r="B139" s="35" t="s">
        <v>134</v>
      </c>
    </row>
    <row r="140" spans="2:21" x14ac:dyDescent="0.3">
      <c r="B140" s="8" t="s">
        <v>2</v>
      </c>
    </row>
    <row r="141" spans="2:21" x14ac:dyDescent="0.3">
      <c r="B141" t="s">
        <v>133</v>
      </c>
    </row>
    <row r="143" spans="2:21" x14ac:dyDescent="0.3">
      <c r="B143" s="8" t="s">
        <v>92</v>
      </c>
    </row>
    <row r="144" spans="2:21" ht="201" customHeight="1" x14ac:dyDescent="0.3">
      <c r="B144" s="44" t="s">
        <v>135</v>
      </c>
      <c r="C144" s="44"/>
      <c r="D144" s="44"/>
      <c r="E144" s="44"/>
      <c r="F144" s="44"/>
      <c r="G144" s="44"/>
    </row>
    <row r="146" spans="2:11" x14ac:dyDescent="0.3">
      <c r="B146" s="73" t="s">
        <v>43</v>
      </c>
      <c r="E146" t="s">
        <v>48</v>
      </c>
    </row>
    <row r="147" spans="2:11" x14ac:dyDescent="0.3">
      <c r="B147" s="74">
        <v>40000</v>
      </c>
      <c r="E147" s="72">
        <f>B149/E155</f>
        <v>0.8928571428571429</v>
      </c>
    </row>
    <row r="148" spans="2:11" x14ac:dyDescent="0.3">
      <c r="B148" s="73" t="s">
        <v>39</v>
      </c>
      <c r="E148" t="s">
        <v>131</v>
      </c>
    </row>
    <row r="149" spans="2:11" x14ac:dyDescent="0.3">
      <c r="B149" s="74">
        <v>15000</v>
      </c>
      <c r="E149" s="66">
        <f>F137+I137+K137+M137+O137+Q137+S137+U137</f>
        <v>1865.7798272676509</v>
      </c>
      <c r="G149" s="13"/>
    </row>
    <row r="150" spans="2:11" x14ac:dyDescent="0.3">
      <c r="B150" s="73" t="s">
        <v>40</v>
      </c>
      <c r="E150" t="s">
        <v>130</v>
      </c>
      <c r="H150" s="14"/>
      <c r="K150" s="12"/>
    </row>
    <row r="151" spans="2:11" x14ac:dyDescent="0.3">
      <c r="B151" s="75">
        <v>1300000</v>
      </c>
      <c r="E151" s="76">
        <f>D155/B149</f>
        <v>5.2241835163494225E-2</v>
      </c>
    </row>
    <row r="153" spans="2:11" x14ac:dyDescent="0.3">
      <c r="B153" s="7" t="s">
        <v>132</v>
      </c>
    </row>
    <row r="154" spans="2:11" x14ac:dyDescent="0.3">
      <c r="B154" s="39" t="s">
        <v>73</v>
      </c>
      <c r="C154" s="39" t="s">
        <v>45</v>
      </c>
      <c r="D154" s="39" t="s">
        <v>46</v>
      </c>
      <c r="E154" s="39" t="s">
        <v>47</v>
      </c>
    </row>
    <row r="155" spans="2:11" x14ac:dyDescent="0.3">
      <c r="B155" s="16" t="s">
        <v>41</v>
      </c>
      <c r="C155" s="77">
        <v>0.42</v>
      </c>
      <c r="D155" s="17">
        <f>$E$149*C155</f>
        <v>783.62752745241335</v>
      </c>
      <c r="E155" s="16">
        <f>$B$147*C155</f>
        <v>16800</v>
      </c>
    </row>
    <row r="156" spans="2:11" x14ac:dyDescent="0.3">
      <c r="B156" s="16" t="s">
        <v>42</v>
      </c>
      <c r="C156" s="77">
        <v>0.38</v>
      </c>
      <c r="D156" s="17">
        <f>$E$149*C156</f>
        <v>708.99633436170734</v>
      </c>
      <c r="E156" s="16">
        <f>$B$147*C156</f>
        <v>15200</v>
      </c>
    </row>
    <row r="157" spans="2:11" x14ac:dyDescent="0.3">
      <c r="B157" s="16" t="s">
        <v>44</v>
      </c>
      <c r="C157" s="77">
        <v>0.2</v>
      </c>
      <c r="D157" s="17">
        <f>$E$149*C157</f>
        <v>373.1559654535302</v>
      </c>
      <c r="E157" s="16">
        <f>$B$147*C157</f>
        <v>8000</v>
      </c>
    </row>
    <row r="159" spans="2:11" ht="18" x14ac:dyDescent="0.4">
      <c r="B159" s="35" t="s">
        <v>136</v>
      </c>
      <c r="D159" s="10"/>
    </row>
    <row r="160" spans="2:11" x14ac:dyDescent="0.3">
      <c r="B160" s="7" t="s">
        <v>49</v>
      </c>
    </row>
    <row r="161" spans="2:12" x14ac:dyDescent="0.3">
      <c r="B161" s="81" t="s">
        <v>11</v>
      </c>
      <c r="C161" s="81" t="s">
        <v>73</v>
      </c>
      <c r="D161" s="82" t="s">
        <v>72</v>
      </c>
      <c r="E161" s="82"/>
      <c r="F161" s="82"/>
      <c r="G161" s="83" t="s">
        <v>50</v>
      </c>
      <c r="H161" s="84"/>
      <c r="I161" s="84"/>
      <c r="J161" s="84"/>
      <c r="K161" s="84"/>
      <c r="L161" s="85"/>
    </row>
    <row r="162" spans="2:12" x14ac:dyDescent="0.3">
      <c r="B162" s="78" t="s">
        <v>12</v>
      </c>
      <c r="C162" s="78" t="s">
        <v>51</v>
      </c>
      <c r="D162" s="79" t="s">
        <v>70</v>
      </c>
      <c r="E162" s="79"/>
      <c r="F162" s="79"/>
      <c r="G162" s="80" t="s">
        <v>52</v>
      </c>
      <c r="H162" s="80"/>
      <c r="I162" s="80"/>
      <c r="J162" s="80"/>
      <c r="K162" s="80"/>
      <c r="L162" s="80"/>
    </row>
    <row r="163" spans="2:12" x14ac:dyDescent="0.3">
      <c r="B163" s="78" t="s">
        <v>13</v>
      </c>
      <c r="C163" s="78" t="s">
        <v>53</v>
      </c>
      <c r="D163" s="79" t="s">
        <v>71</v>
      </c>
      <c r="E163" s="79"/>
      <c r="F163" s="79"/>
      <c r="G163" s="80" t="s">
        <v>54</v>
      </c>
      <c r="H163" s="80"/>
      <c r="I163" s="80"/>
      <c r="J163" s="80"/>
      <c r="K163" s="80"/>
      <c r="L163" s="80"/>
    </row>
    <row r="164" spans="2:12" x14ac:dyDescent="0.3">
      <c r="B164" s="78" t="s">
        <v>14</v>
      </c>
      <c r="C164" s="78" t="s">
        <v>53</v>
      </c>
      <c r="D164" s="79" t="s">
        <v>71</v>
      </c>
      <c r="E164" s="79"/>
      <c r="F164" s="79"/>
      <c r="G164" s="80" t="s">
        <v>55</v>
      </c>
      <c r="H164" s="80"/>
      <c r="I164" s="80"/>
      <c r="J164" s="80"/>
      <c r="K164" s="80"/>
      <c r="L164" s="80"/>
    </row>
    <row r="165" spans="2:12" x14ac:dyDescent="0.3">
      <c r="B165" s="78" t="s">
        <v>15</v>
      </c>
      <c r="C165" s="78" t="s">
        <v>51</v>
      </c>
      <c r="D165" s="79" t="s">
        <v>70</v>
      </c>
      <c r="E165" s="79"/>
      <c r="F165" s="79"/>
      <c r="G165" s="80" t="s">
        <v>56</v>
      </c>
      <c r="H165" s="80"/>
      <c r="I165" s="80"/>
      <c r="J165" s="80"/>
      <c r="K165" s="80"/>
      <c r="L165" s="80"/>
    </row>
    <row r="166" spans="2:12" x14ac:dyDescent="0.3">
      <c r="B166" s="78" t="s">
        <v>16</v>
      </c>
      <c r="C166" s="78" t="s">
        <v>51</v>
      </c>
      <c r="D166" s="79" t="s">
        <v>70</v>
      </c>
      <c r="E166" s="79"/>
      <c r="F166" s="79"/>
      <c r="G166" s="80" t="s">
        <v>57</v>
      </c>
      <c r="H166" s="80"/>
      <c r="I166" s="80"/>
      <c r="J166" s="80"/>
      <c r="K166" s="80"/>
      <c r="L166" s="80"/>
    </row>
    <row r="167" spans="2:12" x14ac:dyDescent="0.3">
      <c r="B167" s="78" t="s">
        <v>17</v>
      </c>
      <c r="C167" s="78" t="s">
        <v>58</v>
      </c>
      <c r="D167" s="79" t="s">
        <v>71</v>
      </c>
      <c r="E167" s="79"/>
      <c r="F167" s="79"/>
      <c r="G167" s="80" t="s">
        <v>59</v>
      </c>
      <c r="H167" s="80"/>
      <c r="I167" s="80"/>
      <c r="J167" s="80"/>
      <c r="K167" s="80"/>
      <c r="L167" s="80"/>
    </row>
    <row r="168" spans="2:12" x14ac:dyDescent="0.3">
      <c r="B168" s="78" t="s">
        <v>18</v>
      </c>
      <c r="C168" s="78" t="s">
        <v>51</v>
      </c>
      <c r="D168" s="79" t="s">
        <v>70</v>
      </c>
      <c r="E168" s="79"/>
      <c r="F168" s="79"/>
      <c r="G168" s="80" t="s">
        <v>60</v>
      </c>
      <c r="H168" s="80"/>
      <c r="I168" s="80"/>
      <c r="J168" s="80"/>
      <c r="K168" s="80"/>
      <c r="L168" s="80"/>
    </row>
    <row r="169" spans="2:12" x14ac:dyDescent="0.3">
      <c r="B169" s="78" t="s">
        <v>19</v>
      </c>
      <c r="C169" s="78" t="s">
        <v>61</v>
      </c>
      <c r="D169" s="79" t="s">
        <v>71</v>
      </c>
      <c r="E169" s="79"/>
      <c r="F169" s="79"/>
      <c r="G169" s="80" t="s">
        <v>62</v>
      </c>
      <c r="H169" s="80"/>
      <c r="I169" s="80"/>
      <c r="J169" s="80"/>
      <c r="K169" s="80"/>
      <c r="L169" s="80"/>
    </row>
    <row r="170" spans="2:12" ht="28" x14ac:dyDescent="0.3">
      <c r="B170" s="78" t="s">
        <v>20</v>
      </c>
      <c r="C170" s="78" t="s">
        <v>63</v>
      </c>
      <c r="D170" s="79" t="s">
        <v>71</v>
      </c>
      <c r="E170" s="79"/>
      <c r="F170" s="79"/>
      <c r="G170" s="80" t="s">
        <v>64</v>
      </c>
      <c r="H170" s="80"/>
      <c r="I170" s="80"/>
      <c r="J170" s="80"/>
      <c r="K170" s="80"/>
      <c r="L170" s="80"/>
    </row>
    <row r="171" spans="2:12" x14ac:dyDescent="0.3">
      <c r="B171" s="78" t="s">
        <v>21</v>
      </c>
      <c r="C171" s="78" t="s">
        <v>58</v>
      </c>
      <c r="D171" s="79" t="s">
        <v>71</v>
      </c>
      <c r="E171" s="79"/>
      <c r="F171" s="79"/>
      <c r="G171" s="80" t="s">
        <v>65</v>
      </c>
      <c r="H171" s="80"/>
      <c r="I171" s="80"/>
      <c r="J171" s="80"/>
      <c r="K171" s="80"/>
      <c r="L171" s="80"/>
    </row>
    <row r="172" spans="2:12" x14ac:dyDescent="0.3">
      <c r="B172" s="78" t="s">
        <v>22</v>
      </c>
      <c r="C172" s="78" t="s">
        <v>51</v>
      </c>
      <c r="D172" s="79" t="s">
        <v>70</v>
      </c>
      <c r="E172" s="79"/>
      <c r="F172" s="79"/>
      <c r="G172" s="80" t="s">
        <v>66</v>
      </c>
      <c r="H172" s="80"/>
      <c r="I172" s="80"/>
      <c r="J172" s="80"/>
      <c r="K172" s="80"/>
      <c r="L172" s="80"/>
    </row>
    <row r="173" spans="2:12" x14ac:dyDescent="0.3">
      <c r="B173" s="78" t="s">
        <v>67</v>
      </c>
      <c r="C173" s="78" t="s">
        <v>51</v>
      </c>
      <c r="D173" s="79" t="s">
        <v>70</v>
      </c>
      <c r="E173" s="79"/>
      <c r="F173" s="79"/>
      <c r="G173" s="80" t="s">
        <v>68</v>
      </c>
      <c r="H173" s="80"/>
      <c r="I173" s="80"/>
      <c r="J173" s="80"/>
      <c r="K173" s="80"/>
      <c r="L173" s="80"/>
    </row>
    <row r="174" spans="2:12" x14ac:dyDescent="0.3">
      <c r="B174" s="78" t="s">
        <v>24</v>
      </c>
      <c r="C174" s="78" t="s">
        <v>61</v>
      </c>
      <c r="D174" s="79" t="s">
        <v>71</v>
      </c>
      <c r="E174" s="79"/>
      <c r="F174" s="79"/>
      <c r="G174" s="80" t="s">
        <v>69</v>
      </c>
      <c r="H174" s="80"/>
      <c r="I174" s="80"/>
      <c r="J174" s="80"/>
      <c r="K174" s="80"/>
      <c r="L174" s="80"/>
    </row>
    <row r="189" spans="3:7" x14ac:dyDescent="0.3">
      <c r="C189" s="11"/>
      <c r="D189" s="11"/>
      <c r="E189" s="9"/>
      <c r="F189" s="11"/>
      <c r="G189" s="9"/>
    </row>
    <row r="190" spans="3:7" x14ac:dyDescent="0.3">
      <c r="D190" s="10"/>
      <c r="E190" s="10"/>
      <c r="F190" s="10"/>
      <c r="G190" s="10"/>
    </row>
    <row r="191" spans="3:7" x14ac:dyDescent="0.3">
      <c r="D191" s="10"/>
      <c r="E191" s="10"/>
      <c r="F191" s="10"/>
      <c r="G191" s="10"/>
    </row>
    <row r="192" spans="3:7" x14ac:dyDescent="0.3">
      <c r="D192" s="10"/>
      <c r="E192" s="10"/>
      <c r="F192" s="10"/>
      <c r="G192" s="10"/>
    </row>
    <row r="193" spans="4:7" x14ac:dyDescent="0.3">
      <c r="D193" s="10"/>
      <c r="E193" s="10"/>
      <c r="F193" s="10"/>
      <c r="G193" s="10"/>
    </row>
    <row r="194" spans="4:7" x14ac:dyDescent="0.3">
      <c r="D194" s="10"/>
      <c r="E194" s="10"/>
      <c r="F194" s="10"/>
      <c r="G194" s="10"/>
    </row>
    <row r="195" spans="4:7" x14ac:dyDescent="0.3">
      <c r="D195" s="10"/>
      <c r="E195" s="10"/>
      <c r="F195" s="10"/>
      <c r="G195" s="10"/>
    </row>
    <row r="196" spans="4:7" x14ac:dyDescent="0.3">
      <c r="D196" s="10"/>
      <c r="E196" s="10"/>
      <c r="F196" s="10"/>
      <c r="G196" s="10"/>
    </row>
    <row r="197" spans="4:7" x14ac:dyDescent="0.3">
      <c r="D197" s="10"/>
      <c r="E197" s="10"/>
      <c r="F197" s="10"/>
      <c r="G197" s="10"/>
    </row>
    <row r="198" spans="4:7" x14ac:dyDescent="0.3">
      <c r="D198" s="10"/>
      <c r="E198" s="10"/>
      <c r="F198" s="10"/>
      <c r="G198" s="10"/>
    </row>
    <row r="199" spans="4:7" x14ac:dyDescent="0.3">
      <c r="D199" s="10"/>
      <c r="E199" s="10"/>
      <c r="F199" s="10"/>
      <c r="G199" s="10"/>
    </row>
    <row r="200" spans="4:7" x14ac:dyDescent="0.3">
      <c r="D200" s="10"/>
      <c r="E200" s="10"/>
      <c r="F200" s="10"/>
      <c r="G200" s="10"/>
    </row>
  </sheetData>
  <mergeCells count="38">
    <mergeCell ref="G169:L169"/>
    <mergeCell ref="G170:L170"/>
    <mergeCell ref="G171:L171"/>
    <mergeCell ref="G172:L172"/>
    <mergeCell ref="G173:L173"/>
    <mergeCell ref="G174:L174"/>
    <mergeCell ref="D172:F172"/>
    <mergeCell ref="D173:F173"/>
    <mergeCell ref="D174:F174"/>
    <mergeCell ref="G162:L162"/>
    <mergeCell ref="G163:L163"/>
    <mergeCell ref="G164:L164"/>
    <mergeCell ref="G165:L165"/>
    <mergeCell ref="G166:L166"/>
    <mergeCell ref="G167:L167"/>
    <mergeCell ref="G168:L168"/>
    <mergeCell ref="D166:F166"/>
    <mergeCell ref="D167:F167"/>
    <mergeCell ref="D168:F168"/>
    <mergeCell ref="D169:F169"/>
    <mergeCell ref="D170:F170"/>
    <mergeCell ref="D171:F171"/>
    <mergeCell ref="B144:G144"/>
    <mergeCell ref="D162:F162"/>
    <mergeCell ref="D163:F163"/>
    <mergeCell ref="D164:F164"/>
    <mergeCell ref="D165:F165"/>
    <mergeCell ref="D161:F161"/>
    <mergeCell ref="G161:L161"/>
    <mergeCell ref="J73:K73"/>
    <mergeCell ref="B38:G38"/>
    <mergeCell ref="B70:G70"/>
    <mergeCell ref="B90:G90"/>
    <mergeCell ref="B107:G107"/>
    <mergeCell ref="B9:G9"/>
    <mergeCell ref="D73:E73"/>
    <mergeCell ref="F73:G73"/>
    <mergeCell ref="H73:I73"/>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Tính toán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Giảng Lê Quang</dc:creator>
  <cp:lastModifiedBy>Giảng Lê Quang</cp:lastModifiedBy>
  <dcterms:created xsi:type="dcterms:W3CDTF">2025-08-12T09:20:11Z</dcterms:created>
  <dcterms:modified xsi:type="dcterms:W3CDTF">2025-08-18T19:09:10Z</dcterms:modified>
</cp:coreProperties>
</file>