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3ba9fcceb20fee/Desktop/finanzas/"/>
    </mc:Choice>
  </mc:AlternateContent>
  <xr:revisionPtr revIDLastSave="3172" documentId="13_ncr:1_{F08F0592-CECA-4794-AC28-FFBEA4A17551}" xr6:coauthVersionLast="47" xr6:coauthVersionMax="47" xr10:uidLastSave="{F7009563-D9D7-4A56-A091-CE9C219627CD}"/>
  <bookViews>
    <workbookView xWindow="-120" yWindow="-120" windowWidth="29040" windowHeight="15720" xr2:uid="{A1423B47-5EEB-4E23-806E-388121902BC3}"/>
  </bookViews>
  <sheets>
    <sheet name="Hoja1" sheetId="2" r:id="rId1"/>
    <sheet name="Notes" sheetId="3" r:id="rId2"/>
  </sheets>
  <definedNames>
    <definedName name="años">Hoja1!$E$9</definedName>
    <definedName name="gracia">Hoja1!$E$11</definedName>
    <definedName name="P0">Hoja1!$E$12</definedName>
    <definedName name="pie">Hoja1!$E$8</definedName>
    <definedName name="plusvalia">Hoja1!$J$17</definedName>
    <definedName name="rate">Hoja1!$E$13</definedName>
    <definedName name="valor_compra">Hoja1!$E$7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2" l="1"/>
  <c r="O36" i="2"/>
  <c r="I36" i="2"/>
  <c r="P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J36" i="2"/>
  <c r="F37" i="2"/>
  <c r="G37" i="2"/>
  <c r="H37" i="2"/>
  <c r="J37" i="2"/>
  <c r="F38" i="2"/>
  <c r="G38" i="2"/>
  <c r="H38" i="2"/>
  <c r="J38" i="2"/>
  <c r="F39" i="2"/>
  <c r="G39" i="2"/>
  <c r="H39" i="2"/>
  <c r="J39" i="2"/>
  <c r="F40" i="2"/>
  <c r="G40" i="2"/>
  <c r="H40" i="2"/>
  <c r="J40" i="2"/>
  <c r="F41" i="2"/>
  <c r="G41" i="2"/>
  <c r="H41" i="2"/>
  <c r="J41" i="2"/>
  <c r="F42" i="2"/>
  <c r="G42" i="2"/>
  <c r="H42" i="2"/>
  <c r="J42" i="2"/>
  <c r="F43" i="2"/>
  <c r="G43" i="2"/>
  <c r="H43" i="2"/>
  <c r="J43" i="2"/>
  <c r="F44" i="2"/>
  <c r="G44" i="2"/>
  <c r="H44" i="2"/>
  <c r="J44" i="2"/>
  <c r="F45" i="2"/>
  <c r="G45" i="2"/>
  <c r="H45" i="2"/>
  <c r="J45" i="2"/>
  <c r="F46" i="2"/>
  <c r="G46" i="2"/>
  <c r="H46" i="2"/>
  <c r="J46" i="2"/>
  <c r="F47" i="2"/>
  <c r="G47" i="2"/>
  <c r="H47" i="2"/>
  <c r="J47" i="2"/>
  <c r="F48" i="2"/>
  <c r="G48" i="2"/>
  <c r="H48" i="2"/>
  <c r="J48" i="2"/>
  <c r="F49" i="2"/>
  <c r="G49" i="2"/>
  <c r="H49" i="2"/>
  <c r="J49" i="2"/>
  <c r="F50" i="2"/>
  <c r="G50" i="2"/>
  <c r="H50" i="2"/>
  <c r="J50" i="2"/>
  <c r="F51" i="2"/>
  <c r="G51" i="2"/>
  <c r="H51" i="2"/>
  <c r="J51" i="2"/>
  <c r="F52" i="2"/>
  <c r="G52" i="2"/>
  <c r="H52" i="2"/>
  <c r="J52" i="2"/>
  <c r="F53" i="2"/>
  <c r="G53" i="2"/>
  <c r="H53" i="2"/>
  <c r="J53" i="2"/>
  <c r="F54" i="2"/>
  <c r="G54" i="2"/>
  <c r="H54" i="2"/>
  <c r="J54" i="2"/>
  <c r="F55" i="2"/>
  <c r="G55" i="2"/>
  <c r="H55" i="2"/>
  <c r="J55" i="2"/>
  <c r="F56" i="2"/>
  <c r="G56" i="2"/>
  <c r="H56" i="2"/>
  <c r="J56" i="2"/>
  <c r="F57" i="2"/>
  <c r="G57" i="2"/>
  <c r="H57" i="2"/>
  <c r="J57" i="2"/>
  <c r="F58" i="2"/>
  <c r="G58" i="2"/>
  <c r="H58" i="2"/>
  <c r="J58" i="2"/>
  <c r="F59" i="2"/>
  <c r="G59" i="2"/>
  <c r="H59" i="2"/>
  <c r="J59" i="2"/>
  <c r="F60" i="2"/>
  <c r="G60" i="2"/>
  <c r="H60" i="2"/>
  <c r="J60" i="2"/>
  <c r="F61" i="2"/>
  <c r="G61" i="2"/>
  <c r="H61" i="2"/>
  <c r="J61" i="2"/>
  <c r="F62" i="2"/>
  <c r="G62" i="2"/>
  <c r="H62" i="2"/>
  <c r="J62" i="2"/>
  <c r="F63" i="2"/>
  <c r="G63" i="2"/>
  <c r="H63" i="2"/>
  <c r="J63" i="2"/>
  <c r="F64" i="2"/>
  <c r="G64" i="2"/>
  <c r="H64" i="2"/>
  <c r="J64" i="2"/>
  <c r="F65" i="2"/>
  <c r="G65" i="2"/>
  <c r="H65" i="2"/>
  <c r="J65" i="2"/>
  <c r="F66" i="2"/>
  <c r="G66" i="2"/>
  <c r="H66" i="2"/>
  <c r="J66" i="2"/>
  <c r="F67" i="2"/>
  <c r="G67" i="2"/>
  <c r="H67" i="2"/>
  <c r="J67" i="2"/>
  <c r="F68" i="2"/>
  <c r="G68" i="2"/>
  <c r="H68" i="2"/>
  <c r="J68" i="2"/>
  <c r="F69" i="2"/>
  <c r="G69" i="2"/>
  <c r="H69" i="2"/>
  <c r="J69" i="2"/>
  <c r="F70" i="2"/>
  <c r="G70" i="2"/>
  <c r="H70" i="2"/>
  <c r="J70" i="2"/>
  <c r="F71" i="2"/>
  <c r="G71" i="2"/>
  <c r="H71" i="2"/>
  <c r="J71" i="2"/>
  <c r="F72" i="2"/>
  <c r="G72" i="2"/>
  <c r="H72" i="2"/>
  <c r="J72" i="2"/>
  <c r="F73" i="2"/>
  <c r="G73" i="2"/>
  <c r="H73" i="2"/>
  <c r="J73" i="2"/>
  <c r="F74" i="2"/>
  <c r="G74" i="2"/>
  <c r="H74" i="2"/>
  <c r="J74" i="2"/>
  <c r="F75" i="2"/>
  <c r="G75" i="2"/>
  <c r="H75" i="2"/>
  <c r="J75" i="2"/>
  <c r="F76" i="2"/>
  <c r="G76" i="2"/>
  <c r="H76" i="2"/>
  <c r="J76" i="2"/>
  <c r="F77" i="2"/>
  <c r="G77" i="2"/>
  <c r="H77" i="2"/>
  <c r="J77" i="2"/>
  <c r="F78" i="2"/>
  <c r="G78" i="2"/>
  <c r="H78" i="2"/>
  <c r="J78" i="2"/>
  <c r="F79" i="2"/>
  <c r="G79" i="2"/>
  <c r="H79" i="2"/>
  <c r="J79" i="2"/>
  <c r="F80" i="2"/>
  <c r="G80" i="2"/>
  <c r="H80" i="2"/>
  <c r="J80" i="2"/>
  <c r="F81" i="2"/>
  <c r="G81" i="2"/>
  <c r="H81" i="2"/>
  <c r="J81" i="2"/>
  <c r="F82" i="2"/>
  <c r="G82" i="2"/>
  <c r="H82" i="2"/>
  <c r="J82" i="2"/>
  <c r="F83" i="2"/>
  <c r="G83" i="2"/>
  <c r="H83" i="2"/>
  <c r="J83" i="2"/>
  <c r="F84" i="2"/>
  <c r="G84" i="2"/>
  <c r="H84" i="2"/>
  <c r="J84" i="2"/>
  <c r="F85" i="2"/>
  <c r="G85" i="2"/>
  <c r="H85" i="2"/>
  <c r="J85" i="2"/>
  <c r="F86" i="2"/>
  <c r="G86" i="2"/>
  <c r="H86" i="2"/>
  <c r="J86" i="2"/>
  <c r="F87" i="2"/>
  <c r="G87" i="2"/>
  <c r="H87" i="2"/>
  <c r="J87" i="2"/>
  <c r="F88" i="2"/>
  <c r="G88" i="2"/>
  <c r="H88" i="2"/>
  <c r="J88" i="2"/>
  <c r="F89" i="2"/>
  <c r="G89" i="2"/>
  <c r="H89" i="2"/>
  <c r="J89" i="2"/>
  <c r="F90" i="2"/>
  <c r="G90" i="2"/>
  <c r="H90" i="2"/>
  <c r="J90" i="2"/>
  <c r="F91" i="2"/>
  <c r="G91" i="2"/>
  <c r="H91" i="2"/>
  <c r="J91" i="2"/>
  <c r="F92" i="2"/>
  <c r="G92" i="2"/>
  <c r="H92" i="2"/>
  <c r="J92" i="2"/>
  <c r="F93" i="2"/>
  <c r="G93" i="2"/>
  <c r="H93" i="2"/>
  <c r="J93" i="2"/>
  <c r="F94" i="2"/>
  <c r="G94" i="2"/>
  <c r="H94" i="2"/>
  <c r="J94" i="2"/>
  <c r="F95" i="2"/>
  <c r="G95" i="2"/>
  <c r="H95" i="2"/>
  <c r="J95" i="2"/>
  <c r="F96" i="2"/>
  <c r="G96" i="2"/>
  <c r="H96" i="2"/>
  <c r="J96" i="2"/>
  <c r="O7" i="2" a="1"/>
  <c r="O7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O6" i="2" a="1"/>
  <c r="O6" i="2"/>
  <c r="Q36" i="2"/>
  <c r="T36" i="2"/>
  <c r="U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F97" i="2"/>
  <c r="G97" i="2"/>
  <c r="H97" i="2"/>
  <c r="J97" i="2"/>
  <c r="F98" i="2"/>
  <c r="G98" i="2"/>
  <c r="H98" i="2"/>
  <c r="J98" i="2"/>
  <c r="F99" i="2"/>
  <c r="G99" i="2"/>
  <c r="H99" i="2"/>
  <c r="J99" i="2"/>
  <c r="F100" i="2"/>
  <c r="G100" i="2"/>
  <c r="H100" i="2"/>
  <c r="J100" i="2"/>
  <c r="F101" i="2"/>
  <c r="G101" i="2"/>
  <c r="H101" i="2"/>
  <c r="J101" i="2"/>
  <c r="F102" i="2"/>
  <c r="G102" i="2"/>
  <c r="H102" i="2"/>
  <c r="J102" i="2"/>
  <c r="F103" i="2"/>
  <c r="G103" i="2"/>
  <c r="H103" i="2"/>
  <c r="J103" i="2"/>
  <c r="F104" i="2"/>
  <c r="G104" i="2"/>
  <c r="H104" i="2"/>
  <c r="J104" i="2"/>
  <c r="F105" i="2"/>
  <c r="G105" i="2"/>
  <c r="H105" i="2"/>
  <c r="J105" i="2"/>
  <c r="F106" i="2"/>
  <c r="G106" i="2"/>
  <c r="H106" i="2"/>
  <c r="J106" i="2"/>
  <c r="F107" i="2"/>
  <c r="G107" i="2"/>
  <c r="H107" i="2"/>
  <c r="J107" i="2"/>
  <c r="F108" i="2"/>
  <c r="G108" i="2"/>
  <c r="H108" i="2"/>
  <c r="J108" i="2"/>
  <c r="F109" i="2"/>
  <c r="G109" i="2"/>
  <c r="H109" i="2"/>
  <c r="J109" i="2"/>
  <c r="F110" i="2"/>
  <c r="G110" i="2"/>
  <c r="H110" i="2"/>
  <c r="J110" i="2"/>
  <c r="F111" i="2"/>
  <c r="G111" i="2"/>
  <c r="H111" i="2"/>
  <c r="J111" i="2"/>
  <c r="F112" i="2"/>
  <c r="G112" i="2"/>
  <c r="H112" i="2"/>
  <c r="J112" i="2"/>
  <c r="F113" i="2"/>
  <c r="G113" i="2"/>
  <c r="H113" i="2"/>
  <c r="J113" i="2"/>
  <c r="F114" i="2"/>
  <c r="G114" i="2"/>
  <c r="H114" i="2"/>
  <c r="J114" i="2"/>
  <c r="F115" i="2"/>
  <c r="G115" i="2"/>
  <c r="H115" i="2"/>
  <c r="J115" i="2"/>
  <c r="F116" i="2"/>
  <c r="G116" i="2"/>
  <c r="H116" i="2"/>
  <c r="J116" i="2"/>
  <c r="F117" i="2"/>
  <c r="G117" i="2"/>
  <c r="H117" i="2"/>
  <c r="J117" i="2"/>
  <c r="F118" i="2"/>
  <c r="G118" i="2"/>
  <c r="H118" i="2"/>
  <c r="J118" i="2"/>
  <c r="F119" i="2"/>
  <c r="G119" i="2"/>
  <c r="H119" i="2"/>
  <c r="J119" i="2"/>
  <c r="F120" i="2"/>
  <c r="G120" i="2"/>
  <c r="H120" i="2"/>
  <c r="J120" i="2"/>
  <c r="F121" i="2"/>
  <c r="G121" i="2"/>
  <c r="H121" i="2"/>
  <c r="J121" i="2"/>
  <c r="F122" i="2"/>
  <c r="G122" i="2"/>
  <c r="H122" i="2"/>
  <c r="J122" i="2"/>
  <c r="F123" i="2"/>
  <c r="G123" i="2"/>
  <c r="H123" i="2"/>
  <c r="J123" i="2"/>
  <c r="F124" i="2"/>
  <c r="G124" i="2"/>
  <c r="H124" i="2"/>
  <c r="J124" i="2"/>
  <c r="F125" i="2"/>
  <c r="G125" i="2"/>
  <c r="H125" i="2"/>
  <c r="J125" i="2"/>
  <c r="F126" i="2"/>
  <c r="G126" i="2"/>
  <c r="H126" i="2"/>
  <c r="J126" i="2"/>
  <c r="F127" i="2"/>
  <c r="G127" i="2"/>
  <c r="H127" i="2"/>
  <c r="J127" i="2"/>
  <c r="F128" i="2"/>
  <c r="G128" i="2"/>
  <c r="H128" i="2"/>
  <c r="J128" i="2"/>
  <c r="F129" i="2"/>
  <c r="G129" i="2"/>
  <c r="H129" i="2"/>
  <c r="J129" i="2"/>
  <c r="F130" i="2"/>
  <c r="G130" i="2"/>
  <c r="H130" i="2"/>
  <c r="J130" i="2"/>
  <c r="F131" i="2"/>
  <c r="G131" i="2"/>
  <c r="H131" i="2"/>
  <c r="J131" i="2"/>
  <c r="F132" i="2"/>
  <c r="G132" i="2"/>
  <c r="H132" i="2"/>
  <c r="J132" i="2"/>
  <c r="F133" i="2"/>
  <c r="G133" i="2"/>
  <c r="H133" i="2"/>
  <c r="J133" i="2"/>
  <c r="F134" i="2"/>
  <c r="G134" i="2"/>
  <c r="H134" i="2"/>
  <c r="J134" i="2"/>
  <c r="F135" i="2"/>
  <c r="G135" i="2"/>
  <c r="H135" i="2"/>
  <c r="J135" i="2"/>
  <c r="F136" i="2"/>
  <c r="G136" i="2"/>
  <c r="H136" i="2"/>
  <c r="J136" i="2"/>
  <c r="F137" i="2"/>
  <c r="G137" i="2"/>
  <c r="H137" i="2"/>
  <c r="J137" i="2"/>
  <c r="F138" i="2"/>
  <c r="G138" i="2"/>
  <c r="H138" i="2"/>
  <c r="J138" i="2"/>
  <c r="F139" i="2"/>
  <c r="G139" i="2"/>
  <c r="H139" i="2"/>
  <c r="J139" i="2"/>
  <c r="F140" i="2"/>
  <c r="G140" i="2"/>
  <c r="H140" i="2"/>
  <c r="J140" i="2"/>
  <c r="F141" i="2"/>
  <c r="G141" i="2"/>
  <c r="H141" i="2"/>
  <c r="J141" i="2"/>
  <c r="F142" i="2"/>
  <c r="G142" i="2"/>
  <c r="H142" i="2"/>
  <c r="J142" i="2"/>
  <c r="F143" i="2"/>
  <c r="G143" i="2"/>
  <c r="H143" i="2"/>
  <c r="J143" i="2"/>
  <c r="F144" i="2"/>
  <c r="G144" i="2"/>
  <c r="H144" i="2"/>
  <c r="J144" i="2"/>
  <c r="F145" i="2"/>
  <c r="G145" i="2"/>
  <c r="H145" i="2"/>
  <c r="J145" i="2"/>
  <c r="F146" i="2"/>
  <c r="G146" i="2"/>
  <c r="H146" i="2"/>
  <c r="J146" i="2"/>
  <c r="F147" i="2"/>
  <c r="G147" i="2"/>
  <c r="H147" i="2"/>
  <c r="J147" i="2"/>
  <c r="F148" i="2"/>
  <c r="G148" i="2"/>
  <c r="H148" i="2"/>
  <c r="J148" i="2"/>
  <c r="F149" i="2"/>
  <c r="G149" i="2"/>
  <c r="H149" i="2"/>
  <c r="J149" i="2"/>
  <c r="F150" i="2"/>
  <c r="G150" i="2"/>
  <c r="H150" i="2"/>
  <c r="J150" i="2"/>
  <c r="F151" i="2"/>
  <c r="G151" i="2"/>
  <c r="H151" i="2"/>
  <c r="J151" i="2"/>
  <c r="F152" i="2"/>
  <c r="G152" i="2"/>
  <c r="H152" i="2"/>
  <c r="J152" i="2"/>
  <c r="F153" i="2"/>
  <c r="G153" i="2"/>
  <c r="H153" i="2"/>
  <c r="J153" i="2"/>
  <c r="F154" i="2"/>
  <c r="G154" i="2"/>
  <c r="H154" i="2"/>
  <c r="J154" i="2"/>
  <c r="F155" i="2"/>
  <c r="G155" i="2"/>
  <c r="H155" i="2"/>
  <c r="J155" i="2"/>
  <c r="F156" i="2"/>
  <c r="G156" i="2"/>
  <c r="H156" i="2"/>
  <c r="J156" i="2"/>
  <c r="F157" i="2"/>
  <c r="G157" i="2"/>
  <c r="H157" i="2"/>
  <c r="J157" i="2"/>
  <c r="F158" i="2"/>
  <c r="G158" i="2"/>
  <c r="H158" i="2"/>
  <c r="J158" i="2"/>
  <c r="F159" i="2"/>
  <c r="G159" i="2"/>
  <c r="H159" i="2"/>
  <c r="J159" i="2"/>
  <c r="F160" i="2"/>
  <c r="G160" i="2"/>
  <c r="H160" i="2"/>
  <c r="J160" i="2"/>
  <c r="F161" i="2"/>
  <c r="G161" i="2"/>
  <c r="H161" i="2"/>
  <c r="J161" i="2"/>
  <c r="F162" i="2"/>
  <c r="G162" i="2"/>
  <c r="H162" i="2"/>
  <c r="J162" i="2"/>
  <c r="F163" i="2"/>
  <c r="G163" i="2"/>
  <c r="H163" i="2"/>
  <c r="J163" i="2"/>
  <c r="F164" i="2"/>
  <c r="G164" i="2"/>
  <c r="H164" i="2"/>
  <c r="J164" i="2"/>
  <c r="F165" i="2"/>
  <c r="G165" i="2"/>
  <c r="H165" i="2"/>
  <c r="J165" i="2"/>
  <c r="F166" i="2"/>
  <c r="G166" i="2"/>
  <c r="H166" i="2"/>
  <c r="J166" i="2"/>
  <c r="F167" i="2"/>
  <c r="G167" i="2"/>
  <c r="H167" i="2"/>
  <c r="J167" i="2"/>
  <c r="F168" i="2"/>
  <c r="G168" i="2"/>
  <c r="H168" i="2"/>
  <c r="J168" i="2"/>
  <c r="F169" i="2"/>
  <c r="G169" i="2"/>
  <c r="H169" i="2"/>
  <c r="J169" i="2"/>
  <c r="F170" i="2"/>
  <c r="G170" i="2"/>
  <c r="H170" i="2"/>
  <c r="J170" i="2"/>
  <c r="F171" i="2"/>
  <c r="G171" i="2"/>
  <c r="H171" i="2"/>
  <c r="J171" i="2"/>
  <c r="F172" i="2"/>
  <c r="G172" i="2"/>
  <c r="H172" i="2"/>
  <c r="J172" i="2"/>
  <c r="F173" i="2"/>
  <c r="G173" i="2"/>
  <c r="H173" i="2"/>
  <c r="J173" i="2"/>
  <c r="F174" i="2"/>
  <c r="G174" i="2"/>
  <c r="H174" i="2"/>
  <c r="J174" i="2"/>
  <c r="F175" i="2"/>
  <c r="G175" i="2"/>
  <c r="H175" i="2"/>
  <c r="J175" i="2"/>
  <c r="F176" i="2"/>
  <c r="G176" i="2"/>
  <c r="H176" i="2"/>
  <c r="J176" i="2"/>
  <c r="F177" i="2"/>
  <c r="G177" i="2"/>
  <c r="H177" i="2"/>
  <c r="J177" i="2"/>
  <c r="F178" i="2"/>
  <c r="G178" i="2"/>
  <c r="H178" i="2"/>
  <c r="J178" i="2"/>
  <c r="F179" i="2"/>
  <c r="G179" i="2"/>
  <c r="H179" i="2"/>
  <c r="J179" i="2"/>
  <c r="F180" i="2"/>
  <c r="G180" i="2"/>
  <c r="H180" i="2"/>
  <c r="J180" i="2"/>
  <c r="F181" i="2"/>
  <c r="G181" i="2"/>
  <c r="H181" i="2"/>
  <c r="J181" i="2"/>
  <c r="F182" i="2"/>
  <c r="G182" i="2"/>
  <c r="H182" i="2"/>
  <c r="J182" i="2"/>
  <c r="F183" i="2"/>
  <c r="G183" i="2"/>
  <c r="H183" i="2"/>
  <c r="J183" i="2"/>
  <c r="F184" i="2"/>
  <c r="G184" i="2"/>
  <c r="H184" i="2"/>
  <c r="J184" i="2"/>
  <c r="F185" i="2"/>
  <c r="G185" i="2"/>
  <c r="H185" i="2"/>
  <c r="J185" i="2"/>
  <c r="F186" i="2"/>
  <c r="G186" i="2"/>
  <c r="H186" i="2"/>
  <c r="J186" i="2"/>
  <c r="F187" i="2"/>
  <c r="G187" i="2"/>
  <c r="H187" i="2"/>
  <c r="J187" i="2"/>
  <c r="F188" i="2"/>
  <c r="G188" i="2"/>
  <c r="H188" i="2"/>
  <c r="J188" i="2"/>
  <c r="F189" i="2"/>
  <c r="G189" i="2"/>
  <c r="H189" i="2"/>
  <c r="J189" i="2"/>
  <c r="F190" i="2"/>
  <c r="G190" i="2"/>
  <c r="H190" i="2"/>
  <c r="J190" i="2"/>
  <c r="F191" i="2"/>
  <c r="G191" i="2"/>
  <c r="H191" i="2"/>
  <c r="J191" i="2"/>
  <c r="F192" i="2"/>
  <c r="G192" i="2"/>
  <c r="H192" i="2"/>
  <c r="J192" i="2"/>
  <c r="F193" i="2"/>
  <c r="G193" i="2"/>
  <c r="H193" i="2"/>
  <c r="J193" i="2"/>
  <c r="F194" i="2"/>
  <c r="G194" i="2"/>
  <c r="H194" i="2"/>
  <c r="J194" i="2"/>
  <c r="F195" i="2"/>
  <c r="G195" i="2"/>
  <c r="H195" i="2"/>
  <c r="J195" i="2"/>
  <c r="F196" i="2"/>
  <c r="G196" i="2"/>
  <c r="H196" i="2"/>
  <c r="J196" i="2"/>
  <c r="F197" i="2"/>
  <c r="G197" i="2"/>
  <c r="H197" i="2"/>
  <c r="J197" i="2"/>
  <c r="F198" i="2"/>
  <c r="G198" i="2"/>
  <c r="H198" i="2"/>
  <c r="J198" i="2"/>
  <c r="F199" i="2"/>
  <c r="G199" i="2"/>
  <c r="H199" i="2"/>
  <c r="J199" i="2"/>
  <c r="F200" i="2"/>
  <c r="G200" i="2"/>
  <c r="H200" i="2"/>
  <c r="J200" i="2"/>
  <c r="F201" i="2"/>
  <c r="G201" i="2"/>
  <c r="H201" i="2"/>
  <c r="J201" i="2"/>
  <c r="F202" i="2"/>
  <c r="G202" i="2"/>
  <c r="H202" i="2"/>
  <c r="J202" i="2"/>
  <c r="F203" i="2"/>
  <c r="G203" i="2"/>
  <c r="H203" i="2"/>
  <c r="J203" i="2"/>
  <c r="F204" i="2"/>
  <c r="G204" i="2"/>
  <c r="H204" i="2"/>
  <c r="J204" i="2"/>
  <c r="F205" i="2"/>
  <c r="G205" i="2"/>
  <c r="H205" i="2"/>
  <c r="J205" i="2"/>
  <c r="F206" i="2"/>
  <c r="G206" i="2"/>
  <c r="H206" i="2"/>
  <c r="J206" i="2"/>
  <c r="F207" i="2"/>
  <c r="G207" i="2"/>
  <c r="H207" i="2"/>
  <c r="J207" i="2"/>
  <c r="F208" i="2"/>
  <c r="G208" i="2"/>
  <c r="H208" i="2"/>
  <c r="J208" i="2"/>
  <c r="F209" i="2"/>
  <c r="G209" i="2"/>
  <c r="H209" i="2"/>
  <c r="J209" i="2"/>
  <c r="F210" i="2"/>
  <c r="G210" i="2"/>
  <c r="H210" i="2"/>
  <c r="J210" i="2"/>
  <c r="F211" i="2"/>
  <c r="G211" i="2"/>
  <c r="H211" i="2"/>
  <c r="J211" i="2"/>
  <c r="F212" i="2"/>
  <c r="G212" i="2"/>
  <c r="H212" i="2"/>
  <c r="J212" i="2"/>
  <c r="F213" i="2"/>
  <c r="G213" i="2"/>
  <c r="H213" i="2"/>
  <c r="J213" i="2"/>
  <c r="F214" i="2"/>
  <c r="G214" i="2"/>
  <c r="H214" i="2"/>
  <c r="J214" i="2"/>
  <c r="F215" i="2"/>
  <c r="G215" i="2"/>
  <c r="H215" i="2"/>
  <c r="J215" i="2"/>
  <c r="F216" i="2"/>
  <c r="G216" i="2"/>
  <c r="H216" i="2"/>
  <c r="J216" i="2"/>
  <c r="F217" i="2"/>
  <c r="G217" i="2"/>
  <c r="H217" i="2"/>
  <c r="J217" i="2"/>
  <c r="F218" i="2"/>
  <c r="G218" i="2"/>
  <c r="H218" i="2"/>
  <c r="J218" i="2"/>
  <c r="F219" i="2"/>
  <c r="G219" i="2"/>
  <c r="H219" i="2"/>
  <c r="J219" i="2"/>
  <c r="F220" i="2"/>
  <c r="G220" i="2"/>
  <c r="H220" i="2"/>
  <c r="J220" i="2"/>
  <c r="F221" i="2"/>
  <c r="G221" i="2"/>
  <c r="H221" i="2"/>
  <c r="J221" i="2"/>
  <c r="F222" i="2"/>
  <c r="G222" i="2"/>
  <c r="H222" i="2"/>
  <c r="J222" i="2"/>
  <c r="F223" i="2"/>
  <c r="G223" i="2"/>
  <c r="H223" i="2"/>
  <c r="J223" i="2"/>
  <c r="F224" i="2"/>
  <c r="G224" i="2"/>
  <c r="H224" i="2"/>
  <c r="J224" i="2"/>
  <c r="F225" i="2"/>
  <c r="G225" i="2"/>
  <c r="H225" i="2"/>
  <c r="J225" i="2"/>
  <c r="F226" i="2"/>
  <c r="G226" i="2"/>
  <c r="H226" i="2"/>
  <c r="J226" i="2"/>
  <c r="F227" i="2"/>
  <c r="G227" i="2"/>
  <c r="H227" i="2"/>
  <c r="J227" i="2"/>
  <c r="F228" i="2"/>
  <c r="G228" i="2"/>
  <c r="H228" i="2"/>
  <c r="J228" i="2"/>
  <c r="F229" i="2"/>
  <c r="G229" i="2"/>
  <c r="H229" i="2"/>
  <c r="J229" i="2"/>
  <c r="F230" i="2"/>
  <c r="G230" i="2"/>
  <c r="H230" i="2"/>
  <c r="J230" i="2"/>
  <c r="F231" i="2"/>
  <c r="G231" i="2"/>
  <c r="H231" i="2"/>
  <c r="J231" i="2"/>
  <c r="F232" i="2"/>
  <c r="G232" i="2"/>
  <c r="H232" i="2"/>
  <c r="J232" i="2"/>
  <c r="F233" i="2"/>
  <c r="G233" i="2"/>
  <c r="H233" i="2"/>
  <c r="J233" i="2"/>
  <c r="F234" i="2"/>
  <c r="G234" i="2"/>
  <c r="H234" i="2"/>
  <c r="J234" i="2"/>
  <c r="F235" i="2"/>
  <c r="G235" i="2"/>
  <c r="H235" i="2"/>
  <c r="J235" i="2"/>
  <c r="F236" i="2"/>
  <c r="G236" i="2"/>
  <c r="H236" i="2"/>
  <c r="J236" i="2"/>
  <c r="F237" i="2"/>
  <c r="G237" i="2"/>
  <c r="H237" i="2"/>
  <c r="J237" i="2"/>
  <c r="F238" i="2"/>
  <c r="G238" i="2"/>
  <c r="H238" i="2"/>
  <c r="J238" i="2"/>
  <c r="F239" i="2"/>
  <c r="G239" i="2"/>
  <c r="H239" i="2"/>
  <c r="J239" i="2"/>
  <c r="F240" i="2"/>
  <c r="G240" i="2"/>
  <c r="H240" i="2"/>
  <c r="J240" i="2"/>
  <c r="F241" i="2"/>
  <c r="G241" i="2"/>
  <c r="H241" i="2"/>
  <c r="J241" i="2"/>
  <c r="F242" i="2"/>
  <c r="G242" i="2"/>
  <c r="H242" i="2"/>
  <c r="J242" i="2"/>
  <c r="F243" i="2"/>
  <c r="G243" i="2"/>
  <c r="H243" i="2"/>
  <c r="J243" i="2"/>
  <c r="F244" i="2"/>
  <c r="G244" i="2"/>
  <c r="H244" i="2"/>
  <c r="J244" i="2"/>
  <c r="F245" i="2"/>
  <c r="G245" i="2"/>
  <c r="H245" i="2"/>
  <c r="J245" i="2"/>
  <c r="F246" i="2"/>
  <c r="G246" i="2"/>
  <c r="H246" i="2"/>
  <c r="J246" i="2"/>
  <c r="F247" i="2"/>
  <c r="G247" i="2"/>
  <c r="H247" i="2"/>
  <c r="J247" i="2"/>
  <c r="F248" i="2"/>
  <c r="G248" i="2"/>
  <c r="H248" i="2"/>
  <c r="J248" i="2"/>
  <c r="F249" i="2"/>
  <c r="G249" i="2"/>
  <c r="H249" i="2"/>
  <c r="J249" i="2"/>
  <c r="F250" i="2"/>
  <c r="G250" i="2"/>
  <c r="H250" i="2"/>
  <c r="J250" i="2"/>
  <c r="F251" i="2"/>
  <c r="G251" i="2"/>
  <c r="H251" i="2"/>
  <c r="J251" i="2"/>
  <c r="F252" i="2"/>
  <c r="G252" i="2"/>
  <c r="H252" i="2"/>
  <c r="J252" i="2"/>
  <c r="F253" i="2"/>
  <c r="G253" i="2"/>
  <c r="H253" i="2"/>
  <c r="J253" i="2"/>
  <c r="F254" i="2"/>
  <c r="G254" i="2"/>
  <c r="H254" i="2"/>
  <c r="J254" i="2"/>
  <c r="F255" i="2"/>
  <c r="G255" i="2"/>
  <c r="H255" i="2"/>
  <c r="J255" i="2"/>
  <c r="F256" i="2"/>
  <c r="G256" i="2"/>
  <c r="H256" i="2"/>
  <c r="J256" i="2"/>
  <c r="F257" i="2"/>
  <c r="G257" i="2"/>
  <c r="H257" i="2"/>
  <c r="J257" i="2"/>
  <c r="F258" i="2"/>
  <c r="G258" i="2"/>
  <c r="H258" i="2"/>
  <c r="J258" i="2"/>
  <c r="F259" i="2"/>
  <c r="G259" i="2"/>
  <c r="H259" i="2"/>
  <c r="J259" i="2"/>
  <c r="F260" i="2"/>
  <c r="G260" i="2"/>
  <c r="H260" i="2"/>
  <c r="J260" i="2"/>
  <c r="F261" i="2"/>
  <c r="G261" i="2"/>
  <c r="H261" i="2"/>
  <c r="J261" i="2"/>
  <c r="F262" i="2"/>
  <c r="G262" i="2"/>
  <c r="H262" i="2"/>
  <c r="J262" i="2"/>
  <c r="F263" i="2"/>
  <c r="G263" i="2"/>
  <c r="H263" i="2"/>
  <c r="J263" i="2"/>
  <c r="F264" i="2"/>
  <c r="G264" i="2"/>
  <c r="H264" i="2"/>
  <c r="J264" i="2"/>
  <c r="F265" i="2"/>
  <c r="G265" i="2"/>
  <c r="H265" i="2"/>
  <c r="J265" i="2"/>
  <c r="F266" i="2"/>
  <c r="G266" i="2"/>
  <c r="H266" i="2"/>
  <c r="J266" i="2"/>
  <c r="F267" i="2"/>
  <c r="G267" i="2"/>
  <c r="H267" i="2"/>
  <c r="J267" i="2"/>
  <c r="F268" i="2"/>
  <c r="G268" i="2"/>
  <c r="H268" i="2"/>
  <c r="J268" i="2"/>
  <c r="F269" i="2"/>
  <c r="G269" i="2"/>
  <c r="H269" i="2"/>
  <c r="J269" i="2"/>
  <c r="F270" i="2"/>
  <c r="G270" i="2"/>
  <c r="H270" i="2"/>
  <c r="J270" i="2"/>
  <c r="F271" i="2"/>
  <c r="G271" i="2"/>
  <c r="H271" i="2"/>
  <c r="J271" i="2"/>
  <c r="F272" i="2"/>
  <c r="G272" i="2"/>
  <c r="H272" i="2"/>
  <c r="J272" i="2"/>
  <c r="F273" i="2"/>
  <c r="G273" i="2"/>
  <c r="H273" i="2"/>
  <c r="J273" i="2"/>
  <c r="F274" i="2"/>
  <c r="G274" i="2"/>
  <c r="H274" i="2"/>
  <c r="J274" i="2"/>
  <c r="F275" i="2"/>
  <c r="G275" i="2"/>
  <c r="H275" i="2"/>
  <c r="J275" i="2"/>
  <c r="F276" i="2"/>
  <c r="G276" i="2"/>
  <c r="H276" i="2"/>
  <c r="J276" i="2"/>
  <c r="F277" i="2"/>
  <c r="G277" i="2"/>
  <c r="H277" i="2"/>
  <c r="J277" i="2"/>
  <c r="F278" i="2"/>
  <c r="G278" i="2"/>
  <c r="H278" i="2"/>
  <c r="J278" i="2"/>
  <c r="F279" i="2"/>
  <c r="G279" i="2"/>
  <c r="H279" i="2"/>
  <c r="J279" i="2"/>
  <c r="F280" i="2"/>
  <c r="G280" i="2"/>
  <c r="H280" i="2"/>
  <c r="J280" i="2"/>
  <c r="F281" i="2"/>
  <c r="G281" i="2"/>
  <c r="H281" i="2"/>
  <c r="J281" i="2"/>
  <c r="F282" i="2"/>
  <c r="G282" i="2"/>
  <c r="H282" i="2"/>
  <c r="J282" i="2"/>
  <c r="F283" i="2"/>
  <c r="G283" i="2"/>
  <c r="H283" i="2"/>
  <c r="J283" i="2"/>
  <c r="F284" i="2"/>
  <c r="G284" i="2"/>
  <c r="H284" i="2"/>
  <c r="J284" i="2"/>
  <c r="F285" i="2"/>
  <c r="G285" i="2"/>
  <c r="H285" i="2"/>
  <c r="J285" i="2"/>
  <c r="F286" i="2"/>
  <c r="G286" i="2"/>
  <c r="H286" i="2"/>
  <c r="J286" i="2"/>
  <c r="F287" i="2"/>
  <c r="G287" i="2"/>
  <c r="H287" i="2"/>
  <c r="J287" i="2"/>
  <c r="F288" i="2"/>
  <c r="G288" i="2"/>
  <c r="H288" i="2"/>
  <c r="J288" i="2"/>
  <c r="F289" i="2"/>
  <c r="G289" i="2"/>
  <c r="H289" i="2"/>
  <c r="J289" i="2"/>
  <c r="F290" i="2"/>
  <c r="G290" i="2"/>
  <c r="H290" i="2"/>
  <c r="J290" i="2"/>
  <c r="F291" i="2"/>
  <c r="G291" i="2"/>
  <c r="H291" i="2"/>
  <c r="J291" i="2"/>
  <c r="F292" i="2"/>
  <c r="G292" i="2"/>
  <c r="H292" i="2"/>
  <c r="J292" i="2"/>
  <c r="F293" i="2"/>
  <c r="G293" i="2"/>
  <c r="H293" i="2"/>
  <c r="J293" i="2"/>
  <c r="F294" i="2"/>
  <c r="G294" i="2"/>
  <c r="H294" i="2"/>
  <c r="J294" i="2"/>
  <c r="F295" i="2"/>
  <c r="G295" i="2"/>
  <c r="H295" i="2"/>
  <c r="J295" i="2"/>
  <c r="F296" i="2"/>
  <c r="G296" i="2"/>
  <c r="H296" i="2"/>
  <c r="J296" i="2"/>
  <c r="F297" i="2"/>
  <c r="G297" i="2"/>
  <c r="H297" i="2"/>
  <c r="J297" i="2"/>
  <c r="F298" i="2"/>
  <c r="G298" i="2"/>
  <c r="H298" i="2"/>
  <c r="J298" i="2"/>
  <c r="F299" i="2"/>
  <c r="G299" i="2"/>
  <c r="H299" i="2"/>
  <c r="J299" i="2"/>
  <c r="F300" i="2"/>
  <c r="G300" i="2"/>
  <c r="H300" i="2"/>
  <c r="J300" i="2"/>
  <c r="F301" i="2"/>
  <c r="G301" i="2"/>
  <c r="H301" i="2"/>
  <c r="J301" i="2"/>
  <c r="F302" i="2"/>
  <c r="G302" i="2"/>
  <c r="H302" i="2"/>
  <c r="J302" i="2"/>
  <c r="F303" i="2"/>
  <c r="G303" i="2"/>
  <c r="H303" i="2"/>
  <c r="J303" i="2"/>
  <c r="F304" i="2"/>
  <c r="G304" i="2"/>
  <c r="H304" i="2"/>
  <c r="J304" i="2"/>
  <c r="F305" i="2"/>
  <c r="G305" i="2"/>
  <c r="H305" i="2"/>
  <c r="J305" i="2"/>
  <c r="F306" i="2"/>
  <c r="G306" i="2"/>
  <c r="H306" i="2"/>
  <c r="J306" i="2"/>
  <c r="F307" i="2"/>
  <c r="G307" i="2"/>
  <c r="H307" i="2"/>
  <c r="J307" i="2"/>
  <c r="F308" i="2"/>
  <c r="G308" i="2"/>
  <c r="H308" i="2"/>
  <c r="J308" i="2"/>
  <c r="F309" i="2"/>
  <c r="G309" i="2"/>
  <c r="H309" i="2"/>
  <c r="J309" i="2"/>
  <c r="F310" i="2"/>
  <c r="G310" i="2"/>
  <c r="H310" i="2"/>
  <c r="J310" i="2"/>
  <c r="F311" i="2"/>
  <c r="G311" i="2"/>
  <c r="H311" i="2"/>
  <c r="J311" i="2"/>
  <c r="F312" i="2"/>
  <c r="G312" i="2"/>
  <c r="H312" i="2"/>
  <c r="J312" i="2"/>
  <c r="F313" i="2"/>
  <c r="G313" i="2"/>
  <c r="H313" i="2"/>
  <c r="J313" i="2"/>
  <c r="F314" i="2"/>
  <c r="G314" i="2"/>
  <c r="H314" i="2"/>
  <c r="J314" i="2"/>
  <c r="F315" i="2"/>
  <c r="G315" i="2"/>
  <c r="H315" i="2"/>
  <c r="J315" i="2"/>
  <c r="F316" i="2"/>
  <c r="G316" i="2"/>
  <c r="H316" i="2"/>
  <c r="J316" i="2"/>
  <c r="F317" i="2"/>
  <c r="G317" i="2"/>
  <c r="H317" i="2"/>
  <c r="J317" i="2"/>
  <c r="F318" i="2"/>
  <c r="G318" i="2"/>
  <c r="H318" i="2"/>
  <c r="J318" i="2"/>
  <c r="F319" i="2"/>
  <c r="G319" i="2"/>
  <c r="H319" i="2"/>
  <c r="J319" i="2"/>
  <c r="F320" i="2"/>
  <c r="G320" i="2"/>
  <c r="H320" i="2"/>
  <c r="J320" i="2"/>
  <c r="F321" i="2"/>
  <c r="G321" i="2"/>
  <c r="H321" i="2"/>
  <c r="J321" i="2"/>
  <c r="F322" i="2"/>
  <c r="G322" i="2"/>
  <c r="H322" i="2"/>
  <c r="J322" i="2"/>
  <c r="F323" i="2"/>
  <c r="G323" i="2"/>
  <c r="H323" i="2"/>
  <c r="J323" i="2"/>
  <c r="F324" i="2"/>
  <c r="G324" i="2"/>
  <c r="H324" i="2"/>
  <c r="J324" i="2"/>
  <c r="F325" i="2"/>
  <c r="G325" i="2"/>
  <c r="H325" i="2"/>
  <c r="J325" i="2"/>
  <c r="F326" i="2"/>
  <c r="G326" i="2"/>
  <c r="H326" i="2"/>
  <c r="J326" i="2"/>
  <c r="F327" i="2"/>
  <c r="G327" i="2"/>
  <c r="H327" i="2"/>
  <c r="J327" i="2"/>
  <c r="F328" i="2"/>
  <c r="G328" i="2"/>
  <c r="H328" i="2"/>
  <c r="J328" i="2"/>
  <c r="F329" i="2"/>
  <c r="G329" i="2"/>
  <c r="H329" i="2"/>
  <c r="J329" i="2"/>
  <c r="F330" i="2"/>
  <c r="G330" i="2"/>
  <c r="H330" i="2"/>
  <c r="J330" i="2"/>
  <c r="F331" i="2"/>
  <c r="G331" i="2"/>
  <c r="H331" i="2"/>
  <c r="J331" i="2"/>
  <c r="F332" i="2"/>
  <c r="G332" i="2"/>
  <c r="H332" i="2"/>
  <c r="J332" i="2"/>
  <c r="F333" i="2"/>
  <c r="G333" i="2"/>
  <c r="H333" i="2"/>
  <c r="J333" i="2"/>
  <c r="F334" i="2"/>
  <c r="G334" i="2"/>
  <c r="H334" i="2"/>
  <c r="J334" i="2"/>
  <c r="F335" i="2"/>
  <c r="G335" i="2"/>
  <c r="H335" i="2"/>
  <c r="J335" i="2"/>
  <c r="F336" i="2"/>
  <c r="G336" i="2"/>
  <c r="H336" i="2"/>
  <c r="J336" i="2"/>
  <c r="F337" i="2"/>
  <c r="G337" i="2"/>
  <c r="H337" i="2"/>
  <c r="J337" i="2"/>
  <c r="F338" i="2"/>
  <c r="G338" i="2"/>
  <c r="H338" i="2"/>
  <c r="J338" i="2"/>
  <c r="F339" i="2"/>
  <c r="G339" i="2"/>
  <c r="H339" i="2"/>
  <c r="J339" i="2"/>
  <c r="F340" i="2"/>
  <c r="G340" i="2"/>
  <c r="H340" i="2"/>
  <c r="J340" i="2"/>
  <c r="F341" i="2"/>
  <c r="G341" i="2"/>
  <c r="H341" i="2"/>
  <c r="J341" i="2"/>
  <c r="F342" i="2"/>
  <c r="G342" i="2"/>
  <c r="H342" i="2"/>
  <c r="J342" i="2"/>
  <c r="F343" i="2"/>
  <c r="G343" i="2"/>
  <c r="H343" i="2"/>
  <c r="J343" i="2"/>
  <c r="F344" i="2"/>
  <c r="G344" i="2"/>
  <c r="H344" i="2"/>
  <c r="J344" i="2"/>
  <c r="F345" i="2"/>
  <c r="G345" i="2"/>
  <c r="H345" i="2"/>
  <c r="J345" i="2"/>
  <c r="F346" i="2"/>
  <c r="G346" i="2"/>
  <c r="H346" i="2"/>
  <c r="J346" i="2"/>
  <c r="F347" i="2"/>
  <c r="G347" i="2"/>
  <c r="H347" i="2"/>
  <c r="J347" i="2"/>
  <c r="F348" i="2"/>
  <c r="G348" i="2"/>
  <c r="H348" i="2"/>
  <c r="J348" i="2"/>
  <c r="F349" i="2"/>
  <c r="G349" i="2"/>
  <c r="H349" i="2"/>
  <c r="J349" i="2"/>
  <c r="F350" i="2"/>
  <c r="G350" i="2"/>
  <c r="H350" i="2"/>
  <c r="J350" i="2"/>
  <c r="F351" i="2"/>
  <c r="G351" i="2"/>
  <c r="H351" i="2"/>
  <c r="J351" i="2"/>
  <c r="F352" i="2"/>
  <c r="G352" i="2"/>
  <c r="H352" i="2"/>
  <c r="J352" i="2"/>
  <c r="F353" i="2"/>
  <c r="G353" i="2"/>
  <c r="H353" i="2"/>
  <c r="J353" i="2"/>
  <c r="F354" i="2"/>
  <c r="G354" i="2"/>
  <c r="H354" i="2"/>
  <c r="J354" i="2"/>
  <c r="F355" i="2"/>
  <c r="G355" i="2"/>
  <c r="H355" i="2"/>
  <c r="J355" i="2"/>
  <c r="F356" i="2"/>
  <c r="G356" i="2"/>
  <c r="H356" i="2"/>
  <c r="J356" i="2"/>
  <c r="F357" i="2"/>
  <c r="G357" i="2"/>
  <c r="H357" i="2"/>
  <c r="J357" i="2"/>
  <c r="F358" i="2"/>
  <c r="G358" i="2"/>
  <c r="H358" i="2"/>
  <c r="J358" i="2"/>
  <c r="F359" i="2"/>
  <c r="G359" i="2"/>
  <c r="H359" i="2"/>
  <c r="J359" i="2"/>
  <c r="F360" i="2"/>
  <c r="G360" i="2"/>
  <c r="H360" i="2"/>
  <c r="J360" i="2"/>
  <c r="F361" i="2"/>
  <c r="G361" i="2"/>
  <c r="H361" i="2"/>
  <c r="J361" i="2"/>
  <c r="F362" i="2"/>
  <c r="G362" i="2"/>
  <c r="H362" i="2"/>
  <c r="J362" i="2"/>
  <c r="F363" i="2"/>
  <c r="G363" i="2"/>
  <c r="H363" i="2"/>
  <c r="J363" i="2"/>
  <c r="F364" i="2"/>
  <c r="G364" i="2"/>
  <c r="H364" i="2"/>
  <c r="J364" i="2"/>
  <c r="F365" i="2"/>
  <c r="G365" i="2"/>
  <c r="H365" i="2"/>
  <c r="J365" i="2"/>
  <c r="F366" i="2"/>
  <c r="G366" i="2"/>
  <c r="H366" i="2"/>
  <c r="J366" i="2"/>
  <c r="F367" i="2"/>
  <c r="G367" i="2"/>
  <c r="H367" i="2"/>
  <c r="J367" i="2"/>
  <c r="F368" i="2"/>
  <c r="G368" i="2"/>
  <c r="H368" i="2"/>
  <c r="J368" i="2"/>
  <c r="F369" i="2"/>
  <c r="G369" i="2"/>
  <c r="H369" i="2"/>
  <c r="J369" i="2"/>
  <c r="F370" i="2"/>
  <c r="G370" i="2"/>
  <c r="H370" i="2"/>
  <c r="J370" i="2"/>
  <c r="F371" i="2"/>
  <c r="G371" i="2"/>
  <c r="H371" i="2"/>
  <c r="J371" i="2"/>
  <c r="F372" i="2"/>
  <c r="G372" i="2"/>
  <c r="H372" i="2"/>
  <c r="J372" i="2"/>
  <c r="F373" i="2"/>
  <c r="G373" i="2"/>
  <c r="H373" i="2"/>
  <c r="J373" i="2"/>
  <c r="F374" i="2"/>
  <c r="G374" i="2"/>
  <c r="H374" i="2"/>
  <c r="J374" i="2"/>
  <c r="F375" i="2"/>
  <c r="G375" i="2"/>
  <c r="H375" i="2"/>
  <c r="J375" i="2"/>
  <c r="F376" i="2"/>
  <c r="G376" i="2"/>
  <c r="H376" i="2"/>
  <c r="J376" i="2"/>
  <c r="F377" i="2"/>
  <c r="G377" i="2"/>
  <c r="H377" i="2"/>
  <c r="J377" i="2"/>
  <c r="F378" i="2"/>
  <c r="G378" i="2"/>
  <c r="H378" i="2"/>
  <c r="J378" i="2"/>
  <c r="F379" i="2"/>
  <c r="G379" i="2"/>
  <c r="H379" i="2"/>
  <c r="J379" i="2"/>
  <c r="F380" i="2"/>
  <c r="G380" i="2"/>
  <c r="H380" i="2"/>
  <c r="J380" i="2"/>
  <c r="F381" i="2"/>
  <c r="G381" i="2"/>
  <c r="H381" i="2"/>
  <c r="J381" i="2"/>
  <c r="F382" i="2"/>
  <c r="G382" i="2"/>
  <c r="H382" i="2"/>
  <c r="J382" i="2"/>
  <c r="F383" i="2"/>
  <c r="G383" i="2"/>
  <c r="H383" i="2"/>
  <c r="J383" i="2"/>
  <c r="F384" i="2"/>
  <c r="G384" i="2"/>
  <c r="H384" i="2"/>
  <c r="J384" i="2"/>
  <c r="F385" i="2"/>
  <c r="G385" i="2"/>
  <c r="H385" i="2"/>
  <c r="J385" i="2"/>
  <c r="F386" i="2"/>
  <c r="G386" i="2"/>
  <c r="H386" i="2"/>
  <c r="J386" i="2"/>
  <c r="F387" i="2"/>
  <c r="G387" i="2"/>
  <c r="H387" i="2"/>
  <c r="J387" i="2"/>
  <c r="F388" i="2"/>
  <c r="G388" i="2"/>
  <c r="H388" i="2"/>
  <c r="J388" i="2"/>
  <c r="F389" i="2"/>
  <c r="G389" i="2"/>
  <c r="H389" i="2"/>
  <c r="J389" i="2"/>
  <c r="F390" i="2"/>
  <c r="G390" i="2"/>
  <c r="H390" i="2"/>
  <c r="J390" i="2"/>
  <c r="F391" i="2"/>
  <c r="G391" i="2"/>
  <c r="H391" i="2"/>
  <c r="J391" i="2"/>
  <c r="F392" i="2"/>
  <c r="G392" i="2"/>
  <c r="H392" i="2"/>
  <c r="J392" i="2"/>
  <c r="F393" i="2"/>
  <c r="G393" i="2"/>
  <c r="H393" i="2"/>
  <c r="J393" i="2"/>
  <c r="F394" i="2"/>
  <c r="G394" i="2"/>
  <c r="H394" i="2"/>
  <c r="J394" i="2"/>
  <c r="F395" i="2"/>
  <c r="G395" i="2"/>
  <c r="H395" i="2"/>
  <c r="J395" i="2"/>
  <c r="F396" i="2"/>
  <c r="G396" i="2"/>
  <c r="H396" i="2"/>
  <c r="J396" i="2"/>
  <c r="F397" i="2"/>
  <c r="G397" i="2"/>
  <c r="H397" i="2"/>
  <c r="J397" i="2"/>
  <c r="F398" i="2"/>
  <c r="G398" i="2"/>
  <c r="H398" i="2"/>
  <c r="J398" i="2"/>
  <c r="F399" i="2"/>
  <c r="G399" i="2"/>
  <c r="H399" i="2"/>
  <c r="J399" i="2"/>
  <c r="F400" i="2"/>
  <c r="G400" i="2"/>
  <c r="H400" i="2"/>
  <c r="J400" i="2"/>
  <c r="F401" i="2"/>
  <c r="G401" i="2"/>
  <c r="H401" i="2"/>
  <c r="J401" i="2"/>
  <c r="F402" i="2"/>
  <c r="G402" i="2"/>
  <c r="H402" i="2"/>
  <c r="F403" i="2"/>
  <c r="G403" i="2"/>
  <c r="H403" i="2"/>
  <c r="F404" i="2"/>
  <c r="G404" i="2"/>
  <c r="H404" i="2"/>
  <c r="F405" i="2"/>
  <c r="G405" i="2"/>
  <c r="H405" i="2"/>
  <c r="F406" i="2"/>
  <c r="G406" i="2"/>
  <c r="H406" i="2"/>
  <c r="F407" i="2"/>
  <c r="G407" i="2"/>
  <c r="H407" i="2"/>
  <c r="F408" i="2"/>
  <c r="G408" i="2"/>
  <c r="H408" i="2"/>
  <c r="F409" i="2"/>
  <c r="G409" i="2"/>
  <c r="H409" i="2"/>
  <c r="F410" i="2"/>
  <c r="G410" i="2"/>
  <c r="H410" i="2"/>
  <c r="F411" i="2"/>
  <c r="G411" i="2"/>
  <c r="H411" i="2"/>
  <c r="F412" i="2"/>
  <c r="G412" i="2"/>
  <c r="H412" i="2"/>
  <c r="F413" i="2"/>
  <c r="G413" i="2"/>
  <c r="H413" i="2"/>
  <c r="F414" i="2"/>
  <c r="G414" i="2"/>
  <c r="H414" i="2"/>
  <c r="F415" i="2"/>
  <c r="G415" i="2"/>
  <c r="H415" i="2"/>
  <c r="F416" i="2"/>
  <c r="G416" i="2"/>
  <c r="H416" i="2"/>
  <c r="F417" i="2"/>
  <c r="G417" i="2"/>
  <c r="H417" i="2"/>
  <c r="F418" i="2"/>
  <c r="G418" i="2"/>
  <c r="H418" i="2"/>
  <c r="F419" i="2"/>
  <c r="G419" i="2"/>
  <c r="H419" i="2"/>
  <c r="F420" i="2"/>
  <c r="G420" i="2"/>
  <c r="H420" i="2"/>
  <c r="F421" i="2"/>
  <c r="G421" i="2"/>
  <c r="H421" i="2"/>
  <c r="F422" i="2"/>
  <c r="G422" i="2"/>
  <c r="H422" i="2"/>
  <c r="F423" i="2"/>
  <c r="G423" i="2"/>
  <c r="H423" i="2"/>
  <c r="F424" i="2"/>
  <c r="G424" i="2"/>
  <c r="H424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G8" i="2"/>
  <c r="G9" i="2"/>
  <c r="G10" i="2"/>
  <c r="G11" i="2"/>
  <c r="G12" i="2"/>
  <c r="G13" i="2"/>
  <c r="G14" i="2"/>
  <c r="G7" i="2"/>
  <c r="K14" i="2"/>
  <c r="E26" i="2"/>
  <c r="E8" i="2"/>
  <c r="E12" i="2"/>
  <c r="E27" i="2"/>
  <c r="E21" i="2"/>
  <c r="E28" i="2"/>
  <c r="E17" i="2"/>
  <c r="E18" i="2"/>
  <c r="J19" i="2"/>
  <c r="J20" i="2"/>
  <c r="E13" i="2"/>
  <c r="E14" i="2"/>
  <c r="K12" i="2"/>
  <c r="E36" i="2"/>
  <c r="E37" i="2"/>
  <c r="E7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8" i="2"/>
  <c r="E395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E396" i="2"/>
  <c r="K397" i="2"/>
  <c r="E397" i="2"/>
  <c r="K398" i="2"/>
  <c r="E398" i="2"/>
  <c r="K399" i="2"/>
  <c r="E399" i="2"/>
  <c r="K400" i="2"/>
  <c r="E400" i="2"/>
  <c r="K401" i="2"/>
  <c r="E401" i="2"/>
  <c r="K402" i="2"/>
  <c r="E402" i="2"/>
  <c r="J402" i="2"/>
  <c r="K403" i="2"/>
  <c r="J403" i="2"/>
  <c r="K404" i="2"/>
  <c r="J404" i="2"/>
  <c r="K405" i="2"/>
  <c r="J405" i="2"/>
  <c r="K406" i="2"/>
  <c r="J406" i="2"/>
  <c r="K407" i="2"/>
  <c r="J407" i="2"/>
  <c r="K408" i="2"/>
  <c r="J408" i="2"/>
  <c r="K409" i="2"/>
  <c r="J409" i="2"/>
  <c r="K410" i="2"/>
  <c r="J410" i="2"/>
  <c r="K411" i="2"/>
  <c r="J411" i="2"/>
  <c r="K412" i="2"/>
  <c r="J412" i="2"/>
  <c r="K413" i="2"/>
  <c r="J413" i="2"/>
  <c r="K414" i="2"/>
  <c r="J414" i="2"/>
  <c r="K415" i="2"/>
  <c r="J415" i="2"/>
  <c r="K416" i="2"/>
  <c r="J416" i="2"/>
  <c r="K417" i="2"/>
  <c r="J417" i="2"/>
  <c r="K418" i="2"/>
  <c r="J418" i="2"/>
  <c r="K419" i="2"/>
  <c r="J419" i="2"/>
  <c r="K420" i="2"/>
  <c r="J420" i="2"/>
  <c r="K421" i="2"/>
  <c r="J421" i="2"/>
  <c r="K422" i="2"/>
  <c r="J422" i="2"/>
  <c r="K423" i="2"/>
  <c r="J423" i="2"/>
  <c r="K424" i="2"/>
  <c r="J424" i="2"/>
  <c r="E30" i="2"/>
  <c r="C60" i="2"/>
  <c r="C124" i="2"/>
  <c r="C78" i="2"/>
  <c r="P7" i="2"/>
  <c r="P6" i="2"/>
  <c r="P2" i="2"/>
  <c r="C37" i="2"/>
  <c r="D37" i="2"/>
  <c r="C38" i="2"/>
  <c r="D38" i="2"/>
  <c r="C39" i="2"/>
  <c r="D39" i="2"/>
  <c r="C40" i="2"/>
  <c r="D40" i="2"/>
  <c r="C41" i="2"/>
  <c r="D41" i="2"/>
  <c r="C42" i="2"/>
  <c r="D42" i="2"/>
  <c r="C43" i="2"/>
  <c r="D43" i="2"/>
  <c r="C44" i="2"/>
  <c r="D44" i="2"/>
  <c r="C45" i="2"/>
  <c r="D45" i="2"/>
  <c r="C46" i="2"/>
  <c r="D46" i="2"/>
  <c r="C47" i="2"/>
  <c r="D47" i="2"/>
  <c r="C48" i="2"/>
  <c r="D48" i="2"/>
  <c r="C49" i="2"/>
  <c r="D49" i="2"/>
  <c r="C50" i="2"/>
  <c r="D50" i="2"/>
  <c r="C51" i="2"/>
  <c r="D51" i="2"/>
  <c r="C52" i="2"/>
  <c r="D52" i="2"/>
  <c r="C53" i="2"/>
  <c r="D53" i="2"/>
  <c r="C54" i="2"/>
  <c r="D54" i="2"/>
  <c r="C55" i="2"/>
  <c r="D55" i="2"/>
  <c r="C56" i="2"/>
  <c r="D56" i="2"/>
  <c r="C57" i="2"/>
  <c r="D57" i="2"/>
  <c r="C58" i="2"/>
  <c r="D58" i="2"/>
  <c r="C59" i="2"/>
  <c r="D59" i="2"/>
  <c r="D60" i="2"/>
  <c r="C61" i="2"/>
  <c r="D61" i="2"/>
  <c r="C62" i="2"/>
  <c r="D62" i="2"/>
  <c r="C63" i="2"/>
  <c r="D63" i="2"/>
  <c r="C64" i="2"/>
  <c r="D64" i="2"/>
  <c r="C65" i="2"/>
  <c r="D65" i="2"/>
  <c r="C66" i="2"/>
  <c r="D66" i="2"/>
  <c r="C67" i="2"/>
  <c r="D67" i="2"/>
  <c r="C68" i="2"/>
  <c r="D68" i="2"/>
  <c r="C69" i="2"/>
  <c r="D69" i="2"/>
  <c r="C70" i="2"/>
  <c r="D70" i="2"/>
  <c r="C71" i="2"/>
  <c r="D71" i="2"/>
  <c r="C72" i="2"/>
  <c r="D72" i="2"/>
  <c r="C73" i="2"/>
  <c r="D73" i="2"/>
  <c r="C74" i="2"/>
  <c r="D74" i="2"/>
  <c r="C75" i="2"/>
  <c r="D75" i="2"/>
  <c r="C76" i="2"/>
  <c r="D76" i="2"/>
  <c r="C77" i="2"/>
  <c r="D77" i="2"/>
  <c r="D78" i="2"/>
  <c r="C79" i="2"/>
  <c r="D79" i="2"/>
  <c r="C80" i="2"/>
  <c r="D80" i="2"/>
  <c r="C81" i="2"/>
  <c r="D81" i="2"/>
  <c r="C82" i="2"/>
  <c r="D82" i="2"/>
  <c r="C83" i="2"/>
  <c r="D83" i="2"/>
  <c r="C84" i="2"/>
  <c r="D84" i="2"/>
  <c r="C85" i="2"/>
  <c r="D85" i="2"/>
  <c r="C86" i="2"/>
  <c r="D86" i="2"/>
  <c r="C87" i="2"/>
  <c r="D87" i="2"/>
  <c r="C88" i="2"/>
  <c r="D88" i="2"/>
  <c r="C89" i="2"/>
  <c r="D89" i="2"/>
  <c r="C90" i="2"/>
  <c r="D90" i="2"/>
  <c r="C91" i="2"/>
  <c r="D91" i="2"/>
  <c r="C92" i="2"/>
  <c r="D92" i="2"/>
  <c r="C93" i="2"/>
  <c r="D93" i="2"/>
  <c r="C94" i="2"/>
  <c r="D94" i="2"/>
  <c r="C95" i="2"/>
  <c r="D95" i="2"/>
  <c r="C96" i="2"/>
  <c r="D96" i="2"/>
  <c r="C97" i="2"/>
  <c r="D97" i="2"/>
  <c r="C98" i="2"/>
  <c r="D98" i="2"/>
  <c r="C99" i="2"/>
  <c r="D99" i="2"/>
  <c r="C100" i="2"/>
  <c r="D100" i="2"/>
  <c r="C101" i="2"/>
  <c r="D101" i="2"/>
  <c r="C102" i="2"/>
  <c r="D102" i="2"/>
  <c r="C103" i="2"/>
  <c r="D103" i="2"/>
  <c r="C104" i="2"/>
  <c r="D104" i="2"/>
  <c r="C105" i="2"/>
  <c r="D105" i="2"/>
  <c r="C106" i="2"/>
  <c r="D106" i="2"/>
  <c r="C107" i="2"/>
  <c r="D107" i="2"/>
  <c r="C108" i="2"/>
  <c r="D108" i="2"/>
  <c r="C109" i="2"/>
  <c r="D109" i="2"/>
  <c r="C110" i="2"/>
  <c r="D110" i="2"/>
  <c r="C111" i="2"/>
  <c r="D111" i="2"/>
  <c r="C112" i="2"/>
  <c r="D112" i="2"/>
  <c r="C113" i="2"/>
  <c r="D113" i="2"/>
  <c r="C114" i="2"/>
  <c r="D114" i="2"/>
  <c r="C115" i="2"/>
  <c r="D115" i="2"/>
  <c r="C116" i="2"/>
  <c r="D116" i="2"/>
  <c r="C117" i="2"/>
  <c r="D117" i="2"/>
  <c r="C118" i="2"/>
  <c r="D118" i="2"/>
  <c r="C119" i="2"/>
  <c r="D119" i="2"/>
  <c r="C120" i="2"/>
  <c r="D120" i="2"/>
  <c r="C121" i="2"/>
  <c r="D121" i="2"/>
  <c r="C122" i="2"/>
  <c r="D122" i="2"/>
  <c r="C123" i="2"/>
  <c r="D123" i="2"/>
  <c r="D124" i="2"/>
  <c r="C125" i="2"/>
  <c r="D125" i="2"/>
  <c r="C126" i="2"/>
  <c r="D126" i="2"/>
  <c r="C127" i="2"/>
  <c r="D127" i="2"/>
  <c r="C128" i="2"/>
  <c r="D128" i="2"/>
  <c r="C129" i="2"/>
  <c r="D129" i="2"/>
  <c r="C130" i="2"/>
  <c r="D130" i="2"/>
  <c r="C131" i="2"/>
  <c r="D131" i="2"/>
  <c r="C132" i="2"/>
  <c r="D132" i="2"/>
  <c r="C133" i="2"/>
  <c r="D133" i="2"/>
  <c r="C134" i="2"/>
  <c r="D134" i="2"/>
  <c r="C135" i="2"/>
  <c r="D135" i="2"/>
  <c r="C136" i="2"/>
  <c r="D136" i="2"/>
  <c r="C137" i="2"/>
  <c r="D137" i="2"/>
  <c r="C138" i="2"/>
  <c r="D138" i="2"/>
  <c r="C139" i="2"/>
  <c r="D139" i="2"/>
  <c r="C140" i="2"/>
  <c r="D140" i="2"/>
  <c r="C141" i="2"/>
  <c r="D141" i="2"/>
  <c r="C142" i="2"/>
  <c r="D142" i="2"/>
  <c r="C143" i="2"/>
  <c r="D143" i="2"/>
  <c r="C144" i="2"/>
  <c r="D144" i="2"/>
  <c r="C145" i="2"/>
  <c r="D145" i="2"/>
  <c r="C146" i="2"/>
  <c r="D146" i="2"/>
  <c r="C147" i="2"/>
  <c r="D147" i="2"/>
  <c r="C148" i="2"/>
  <c r="D148" i="2"/>
  <c r="C149" i="2"/>
  <c r="D149" i="2"/>
  <c r="C150" i="2"/>
  <c r="D150" i="2"/>
  <c r="C151" i="2"/>
  <c r="D151" i="2"/>
  <c r="C152" i="2"/>
  <c r="D152" i="2"/>
  <c r="C153" i="2"/>
  <c r="D153" i="2"/>
  <c r="C154" i="2"/>
  <c r="D154" i="2"/>
  <c r="C155" i="2"/>
  <c r="D155" i="2"/>
  <c r="C156" i="2"/>
  <c r="D156" i="2"/>
  <c r="C157" i="2"/>
  <c r="D157" i="2"/>
  <c r="C158" i="2"/>
  <c r="D158" i="2"/>
  <c r="C159" i="2"/>
  <c r="D159" i="2"/>
  <c r="C160" i="2"/>
  <c r="D160" i="2"/>
  <c r="C161" i="2"/>
  <c r="D161" i="2"/>
  <c r="C162" i="2"/>
  <c r="D162" i="2"/>
  <c r="C163" i="2"/>
  <c r="D163" i="2"/>
  <c r="C164" i="2"/>
  <c r="D164" i="2"/>
  <c r="C165" i="2"/>
  <c r="D165" i="2"/>
  <c r="C166" i="2"/>
  <c r="D166" i="2"/>
  <c r="C167" i="2"/>
  <c r="D167" i="2"/>
  <c r="C168" i="2"/>
  <c r="D168" i="2"/>
  <c r="C169" i="2"/>
  <c r="D169" i="2"/>
  <c r="C170" i="2"/>
  <c r="D170" i="2"/>
  <c r="C171" i="2"/>
  <c r="D171" i="2"/>
  <c r="C172" i="2"/>
  <c r="D172" i="2"/>
  <c r="C173" i="2"/>
  <c r="D173" i="2"/>
  <c r="C174" i="2"/>
  <c r="D174" i="2"/>
  <c r="C175" i="2"/>
  <c r="D175" i="2"/>
  <c r="C176" i="2"/>
  <c r="D176" i="2"/>
  <c r="C177" i="2"/>
  <c r="D177" i="2"/>
  <c r="C178" i="2"/>
  <c r="D178" i="2"/>
  <c r="C179" i="2"/>
  <c r="D179" i="2"/>
  <c r="C180" i="2"/>
  <c r="D180" i="2"/>
  <c r="C181" i="2"/>
  <c r="D181" i="2"/>
  <c r="C182" i="2"/>
  <c r="D182" i="2"/>
  <c r="C183" i="2"/>
  <c r="D183" i="2"/>
  <c r="C184" i="2"/>
  <c r="D184" i="2"/>
  <c r="C185" i="2"/>
  <c r="D185" i="2"/>
  <c r="C186" i="2"/>
  <c r="D186" i="2"/>
  <c r="C187" i="2"/>
  <c r="D187" i="2"/>
  <c r="C188" i="2"/>
  <c r="D188" i="2"/>
  <c r="C189" i="2"/>
  <c r="D189" i="2"/>
  <c r="C190" i="2"/>
  <c r="D190" i="2"/>
  <c r="C191" i="2"/>
  <c r="D191" i="2"/>
  <c r="C192" i="2"/>
  <c r="D192" i="2"/>
  <c r="C193" i="2"/>
  <c r="D193" i="2"/>
  <c r="C194" i="2"/>
  <c r="D194" i="2"/>
  <c r="C195" i="2"/>
  <c r="D195" i="2"/>
  <c r="C196" i="2"/>
  <c r="D196" i="2"/>
  <c r="C197" i="2"/>
  <c r="D197" i="2"/>
  <c r="C198" i="2"/>
  <c r="D198" i="2"/>
  <c r="C199" i="2"/>
  <c r="D199" i="2"/>
  <c r="C200" i="2"/>
  <c r="D200" i="2"/>
  <c r="C201" i="2"/>
  <c r="D201" i="2"/>
  <c r="C202" i="2"/>
  <c r="D202" i="2"/>
  <c r="C203" i="2"/>
  <c r="D203" i="2"/>
  <c r="C204" i="2"/>
  <c r="D204" i="2"/>
  <c r="C205" i="2"/>
  <c r="D205" i="2"/>
  <c r="C206" i="2"/>
  <c r="D206" i="2"/>
  <c r="C207" i="2"/>
  <c r="D207" i="2"/>
  <c r="C208" i="2"/>
  <c r="D208" i="2"/>
  <c r="C209" i="2"/>
  <c r="D209" i="2"/>
  <c r="C210" i="2"/>
  <c r="D210" i="2"/>
  <c r="C211" i="2"/>
  <c r="D211" i="2"/>
  <c r="C212" i="2"/>
  <c r="D212" i="2"/>
  <c r="C213" i="2"/>
  <c r="D213" i="2"/>
  <c r="C214" i="2"/>
  <c r="D214" i="2"/>
  <c r="C215" i="2"/>
  <c r="D215" i="2"/>
  <c r="C216" i="2"/>
  <c r="D216" i="2"/>
  <c r="C217" i="2"/>
  <c r="D217" i="2"/>
  <c r="C218" i="2"/>
  <c r="D218" i="2"/>
  <c r="C219" i="2"/>
  <c r="D219" i="2"/>
  <c r="C220" i="2"/>
  <c r="D220" i="2"/>
  <c r="C221" i="2"/>
  <c r="D221" i="2"/>
  <c r="C222" i="2"/>
  <c r="D222" i="2"/>
  <c r="C223" i="2"/>
  <c r="D223" i="2"/>
  <c r="C224" i="2"/>
  <c r="D224" i="2"/>
  <c r="C225" i="2"/>
  <c r="D225" i="2"/>
  <c r="C226" i="2"/>
  <c r="D226" i="2"/>
  <c r="C227" i="2"/>
  <c r="D227" i="2"/>
  <c r="C228" i="2"/>
  <c r="D228" i="2"/>
  <c r="C229" i="2"/>
  <c r="D229" i="2"/>
  <c r="C230" i="2"/>
  <c r="D230" i="2"/>
  <c r="C231" i="2"/>
  <c r="D231" i="2"/>
  <c r="C232" i="2"/>
  <c r="D232" i="2"/>
  <c r="C233" i="2"/>
  <c r="D233" i="2"/>
  <c r="C234" i="2"/>
  <c r="D234" i="2"/>
  <c r="C235" i="2"/>
  <c r="D235" i="2"/>
  <c r="C236" i="2"/>
  <c r="D236" i="2"/>
  <c r="C237" i="2"/>
  <c r="D237" i="2"/>
  <c r="C238" i="2"/>
  <c r="D238" i="2"/>
  <c r="C239" i="2"/>
  <c r="D239" i="2"/>
  <c r="C240" i="2"/>
  <c r="D240" i="2"/>
  <c r="C241" i="2"/>
  <c r="D241" i="2"/>
  <c r="C242" i="2"/>
  <c r="D242" i="2"/>
  <c r="C243" i="2"/>
  <c r="D243" i="2"/>
  <c r="C244" i="2"/>
  <c r="D244" i="2"/>
  <c r="C245" i="2"/>
  <c r="D245" i="2"/>
  <c r="C246" i="2"/>
  <c r="D246" i="2"/>
  <c r="C247" i="2"/>
  <c r="D247" i="2"/>
  <c r="C248" i="2"/>
  <c r="D248" i="2"/>
  <c r="C249" i="2"/>
  <c r="D249" i="2"/>
  <c r="C250" i="2"/>
  <c r="D250" i="2"/>
  <c r="C251" i="2"/>
  <c r="D251" i="2"/>
  <c r="C252" i="2"/>
  <c r="D252" i="2"/>
  <c r="C253" i="2"/>
  <c r="D253" i="2"/>
  <c r="C254" i="2"/>
  <c r="D254" i="2"/>
  <c r="C255" i="2"/>
  <c r="D255" i="2"/>
  <c r="C256" i="2"/>
  <c r="D256" i="2"/>
  <c r="C257" i="2"/>
  <c r="D257" i="2"/>
  <c r="C258" i="2"/>
  <c r="D258" i="2"/>
  <c r="C259" i="2"/>
  <c r="D259" i="2"/>
  <c r="C260" i="2"/>
  <c r="D260" i="2"/>
  <c r="C261" i="2"/>
  <c r="D261" i="2"/>
  <c r="C262" i="2"/>
  <c r="D262" i="2"/>
  <c r="C263" i="2"/>
  <c r="D263" i="2"/>
  <c r="C264" i="2"/>
  <c r="D264" i="2"/>
  <c r="C265" i="2"/>
  <c r="D265" i="2"/>
  <c r="C266" i="2"/>
  <c r="D266" i="2"/>
  <c r="C267" i="2"/>
  <c r="D267" i="2"/>
  <c r="C268" i="2"/>
  <c r="D268" i="2"/>
  <c r="C269" i="2"/>
  <c r="D269" i="2"/>
  <c r="C270" i="2"/>
  <c r="D270" i="2"/>
  <c r="C271" i="2"/>
  <c r="D271" i="2"/>
  <c r="C272" i="2"/>
  <c r="D272" i="2"/>
  <c r="C273" i="2"/>
  <c r="D273" i="2"/>
  <c r="C274" i="2"/>
  <c r="D274" i="2"/>
  <c r="C275" i="2"/>
  <c r="D275" i="2"/>
  <c r="C276" i="2"/>
  <c r="D276" i="2"/>
  <c r="C277" i="2"/>
  <c r="D277" i="2"/>
  <c r="C278" i="2"/>
  <c r="D278" i="2"/>
  <c r="C279" i="2"/>
  <c r="D279" i="2"/>
  <c r="C280" i="2"/>
  <c r="D280" i="2"/>
  <c r="C281" i="2"/>
  <c r="D281" i="2"/>
  <c r="C282" i="2"/>
  <c r="D282" i="2"/>
  <c r="C283" i="2"/>
  <c r="D283" i="2"/>
  <c r="C284" i="2"/>
  <c r="D284" i="2"/>
  <c r="C285" i="2"/>
  <c r="D285" i="2"/>
  <c r="C286" i="2"/>
  <c r="D286" i="2"/>
  <c r="C287" i="2"/>
  <c r="D287" i="2"/>
  <c r="C288" i="2"/>
  <c r="D288" i="2"/>
  <c r="C289" i="2"/>
  <c r="D289" i="2"/>
  <c r="C290" i="2"/>
  <c r="D290" i="2"/>
  <c r="C291" i="2"/>
  <c r="D291" i="2"/>
  <c r="C292" i="2"/>
  <c r="D292" i="2"/>
  <c r="C293" i="2"/>
  <c r="D293" i="2"/>
  <c r="C294" i="2"/>
  <c r="D294" i="2"/>
  <c r="C295" i="2"/>
  <c r="D295" i="2"/>
  <c r="C296" i="2"/>
  <c r="D296" i="2"/>
  <c r="C297" i="2"/>
  <c r="D297" i="2"/>
  <c r="C298" i="2"/>
  <c r="D298" i="2"/>
  <c r="C299" i="2"/>
  <c r="D299" i="2"/>
  <c r="C300" i="2"/>
  <c r="D300" i="2"/>
  <c r="C301" i="2"/>
  <c r="D301" i="2"/>
  <c r="C302" i="2"/>
  <c r="D302" i="2"/>
  <c r="C303" i="2"/>
  <c r="D303" i="2"/>
  <c r="C304" i="2"/>
  <c r="D304" i="2"/>
  <c r="C305" i="2"/>
  <c r="D305" i="2"/>
  <c r="C306" i="2"/>
  <c r="D306" i="2"/>
  <c r="C307" i="2"/>
  <c r="D307" i="2"/>
  <c r="C308" i="2"/>
  <c r="D308" i="2"/>
  <c r="C309" i="2"/>
  <c r="D309" i="2"/>
  <c r="C310" i="2"/>
  <c r="D310" i="2"/>
  <c r="C311" i="2"/>
  <c r="D311" i="2"/>
  <c r="C312" i="2"/>
  <c r="D312" i="2"/>
  <c r="C313" i="2"/>
  <c r="D313" i="2"/>
  <c r="C314" i="2"/>
  <c r="D314" i="2"/>
  <c r="C315" i="2"/>
  <c r="D315" i="2"/>
  <c r="C316" i="2"/>
  <c r="D316" i="2"/>
  <c r="C317" i="2"/>
  <c r="D317" i="2"/>
  <c r="C318" i="2"/>
  <c r="D318" i="2"/>
  <c r="C319" i="2"/>
  <c r="D319" i="2"/>
  <c r="C320" i="2"/>
  <c r="D320" i="2"/>
  <c r="C321" i="2"/>
  <c r="D321" i="2"/>
  <c r="C322" i="2"/>
  <c r="D322" i="2"/>
  <c r="C323" i="2"/>
  <c r="D323" i="2"/>
  <c r="C324" i="2"/>
  <c r="D324" i="2"/>
  <c r="C325" i="2"/>
  <c r="D325" i="2"/>
  <c r="C326" i="2"/>
  <c r="D326" i="2"/>
  <c r="C327" i="2"/>
  <c r="D327" i="2"/>
  <c r="C328" i="2"/>
  <c r="D328" i="2"/>
  <c r="C329" i="2"/>
  <c r="D329" i="2"/>
  <c r="C330" i="2"/>
  <c r="D330" i="2"/>
  <c r="C331" i="2"/>
  <c r="D331" i="2"/>
  <c r="C332" i="2"/>
  <c r="D332" i="2"/>
  <c r="C333" i="2"/>
  <c r="D333" i="2"/>
  <c r="C334" i="2"/>
  <c r="D334" i="2"/>
  <c r="C335" i="2"/>
  <c r="D335" i="2"/>
  <c r="C336" i="2"/>
  <c r="D336" i="2"/>
  <c r="C337" i="2"/>
  <c r="D337" i="2"/>
  <c r="C338" i="2"/>
  <c r="D338" i="2"/>
  <c r="C339" i="2"/>
  <c r="D339" i="2"/>
  <c r="C340" i="2"/>
  <c r="D340" i="2"/>
  <c r="C341" i="2"/>
  <c r="D341" i="2"/>
  <c r="C342" i="2"/>
  <c r="D342" i="2"/>
  <c r="C343" i="2"/>
  <c r="D343" i="2"/>
  <c r="C344" i="2"/>
  <c r="D344" i="2"/>
  <c r="C345" i="2"/>
  <c r="D345" i="2"/>
  <c r="C346" i="2"/>
  <c r="D346" i="2"/>
  <c r="C347" i="2"/>
  <c r="D347" i="2"/>
  <c r="C348" i="2"/>
  <c r="D348" i="2"/>
  <c r="C349" i="2"/>
  <c r="D349" i="2"/>
  <c r="C350" i="2"/>
  <c r="D350" i="2"/>
  <c r="C351" i="2"/>
  <c r="D351" i="2"/>
  <c r="C352" i="2"/>
  <c r="D352" i="2"/>
  <c r="C353" i="2"/>
  <c r="D353" i="2"/>
  <c r="C354" i="2"/>
  <c r="D354" i="2"/>
  <c r="C355" i="2"/>
  <c r="D355" i="2"/>
  <c r="C356" i="2"/>
  <c r="D356" i="2"/>
  <c r="C357" i="2"/>
  <c r="D357" i="2"/>
  <c r="C358" i="2"/>
  <c r="D358" i="2"/>
  <c r="C359" i="2"/>
  <c r="D359" i="2"/>
  <c r="C360" i="2"/>
  <c r="D360" i="2"/>
  <c r="C361" i="2"/>
  <c r="D361" i="2"/>
  <c r="C362" i="2"/>
  <c r="D362" i="2"/>
  <c r="C363" i="2"/>
  <c r="D363" i="2"/>
  <c r="C364" i="2"/>
  <c r="D364" i="2"/>
  <c r="C365" i="2"/>
  <c r="D365" i="2"/>
  <c r="C366" i="2"/>
  <c r="D366" i="2"/>
  <c r="C367" i="2"/>
  <c r="D367" i="2"/>
  <c r="C368" i="2"/>
  <c r="D368" i="2"/>
  <c r="C369" i="2"/>
  <c r="D369" i="2"/>
  <c r="C370" i="2"/>
  <c r="D370" i="2"/>
  <c r="C371" i="2"/>
  <c r="D371" i="2"/>
  <c r="C372" i="2"/>
  <c r="D372" i="2"/>
  <c r="C373" i="2"/>
  <c r="D373" i="2"/>
  <c r="C374" i="2"/>
  <c r="D374" i="2"/>
  <c r="C375" i="2"/>
  <c r="D375" i="2"/>
  <c r="C376" i="2"/>
  <c r="D376" i="2"/>
  <c r="C377" i="2"/>
  <c r="D377" i="2"/>
  <c r="C378" i="2"/>
  <c r="D378" i="2"/>
  <c r="C379" i="2"/>
  <c r="D379" i="2"/>
  <c r="C380" i="2"/>
  <c r="D380" i="2"/>
  <c r="C381" i="2"/>
  <c r="D381" i="2"/>
  <c r="C382" i="2"/>
  <c r="D382" i="2"/>
  <c r="C383" i="2"/>
  <c r="D383" i="2"/>
  <c r="C384" i="2"/>
  <c r="D384" i="2"/>
  <c r="C385" i="2"/>
  <c r="D385" i="2"/>
  <c r="C386" i="2"/>
  <c r="D386" i="2"/>
  <c r="C387" i="2"/>
  <c r="D387" i="2"/>
  <c r="C388" i="2"/>
  <c r="D388" i="2"/>
  <c r="C389" i="2"/>
  <c r="D389" i="2"/>
  <c r="C390" i="2"/>
  <c r="D390" i="2"/>
  <c r="C391" i="2"/>
  <c r="D391" i="2"/>
  <c r="C392" i="2"/>
  <c r="D392" i="2"/>
  <c r="C393" i="2"/>
  <c r="D393" i="2"/>
  <c r="C394" i="2"/>
  <c r="D394" i="2"/>
  <c r="C395" i="2"/>
  <c r="D395" i="2"/>
  <c r="C396" i="2"/>
  <c r="D396" i="2"/>
  <c r="C397" i="2"/>
  <c r="D397" i="2"/>
  <c r="C398" i="2"/>
  <c r="D398" i="2"/>
  <c r="C399" i="2"/>
  <c r="D399" i="2"/>
  <c r="C400" i="2"/>
  <c r="D400" i="2"/>
  <c r="C401" i="2"/>
  <c r="D401" i="2"/>
  <c r="C402" i="2"/>
  <c r="D402" i="2"/>
  <c r="C403" i="2"/>
  <c r="D403" i="2"/>
  <c r="C404" i="2"/>
  <c r="D404" i="2"/>
  <c r="C405" i="2"/>
  <c r="D405" i="2"/>
  <c r="C406" i="2"/>
  <c r="D406" i="2"/>
  <c r="C407" i="2"/>
  <c r="D407" i="2"/>
  <c r="C408" i="2"/>
  <c r="D408" i="2"/>
  <c r="C409" i="2"/>
  <c r="D409" i="2"/>
  <c r="C410" i="2"/>
  <c r="D410" i="2"/>
  <c r="C411" i="2"/>
  <c r="D411" i="2"/>
  <c r="C412" i="2"/>
  <c r="D412" i="2"/>
  <c r="C413" i="2"/>
  <c r="D413" i="2"/>
  <c r="C414" i="2"/>
  <c r="D414" i="2"/>
  <c r="C415" i="2"/>
  <c r="D415" i="2"/>
  <c r="C416" i="2"/>
  <c r="D416" i="2"/>
  <c r="C417" i="2"/>
  <c r="D417" i="2"/>
  <c r="C418" i="2"/>
  <c r="D418" i="2"/>
  <c r="C419" i="2"/>
  <c r="D419" i="2"/>
  <c r="C420" i="2"/>
  <c r="D420" i="2"/>
  <c r="C421" i="2"/>
  <c r="D421" i="2"/>
  <c r="C422" i="2"/>
  <c r="D422" i="2"/>
  <c r="C423" i="2"/>
  <c r="D423" i="2"/>
  <c r="C424" i="2"/>
  <c r="D424" i="2"/>
  <c r="S36" i="2"/>
  <c r="C36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19" i="2"/>
  <c r="J26" i="2"/>
  <c r="F18" i="2"/>
  <c r="K9" i="2"/>
  <c r="K11" i="2"/>
  <c r="K10" i="2"/>
  <c r="K13" i="2"/>
  <c r="K8" i="2"/>
  <c r="K7" i="2"/>
  <c r="F28" i="2"/>
  <c r="F27" i="2"/>
  <c r="F26" i="2"/>
  <c r="F25" i="2"/>
  <c r="F24" i="2"/>
  <c r="F23" i="2"/>
  <c r="F22" i="2"/>
  <c r="F21" i="2"/>
  <c r="F17" i="2"/>
  <c r="F14" i="2"/>
  <c r="F9" i="2"/>
  <c r="F8" i="2"/>
  <c r="F30" i="2"/>
  <c r="F7" i="2"/>
  <c r="E424" i="2"/>
  <c r="J28" i="2"/>
  <c r="M37" i="2"/>
  <c r="P37" i="2"/>
  <c r="Q37" i="2"/>
  <c r="T37" i="2"/>
  <c r="U37" i="2"/>
  <c r="M38" i="2"/>
  <c r="P38" i="2"/>
  <c r="Q38" i="2"/>
  <c r="T38" i="2"/>
  <c r="U38" i="2"/>
  <c r="M39" i="2"/>
  <c r="P39" i="2"/>
  <c r="Q39" i="2"/>
  <c r="T39" i="2"/>
  <c r="U39" i="2"/>
  <c r="M40" i="2"/>
  <c r="P40" i="2"/>
  <c r="Q40" i="2"/>
  <c r="T40" i="2"/>
  <c r="U40" i="2"/>
  <c r="M41" i="2"/>
  <c r="P41" i="2"/>
  <c r="Q41" i="2"/>
  <c r="T41" i="2"/>
  <c r="U41" i="2"/>
  <c r="M42" i="2"/>
  <c r="P42" i="2"/>
  <c r="Q42" i="2"/>
  <c r="T42" i="2"/>
  <c r="U42" i="2"/>
  <c r="M43" i="2"/>
  <c r="P43" i="2"/>
  <c r="Q43" i="2"/>
  <c r="T43" i="2"/>
  <c r="U43" i="2"/>
  <c r="M44" i="2"/>
  <c r="P44" i="2"/>
  <c r="Q44" i="2"/>
  <c r="T44" i="2"/>
  <c r="U44" i="2"/>
  <c r="M45" i="2"/>
  <c r="P45" i="2"/>
  <c r="Q45" i="2"/>
  <c r="T45" i="2"/>
  <c r="U45" i="2"/>
  <c r="M46" i="2"/>
  <c r="P46" i="2"/>
  <c r="Q46" i="2"/>
  <c r="T46" i="2"/>
  <c r="U46" i="2"/>
  <c r="M47" i="2"/>
  <c r="P47" i="2"/>
  <c r="Q47" i="2"/>
  <c r="T47" i="2"/>
  <c r="U47" i="2"/>
  <c r="M48" i="2"/>
  <c r="P48" i="2"/>
  <c r="Q48" i="2"/>
  <c r="T48" i="2"/>
  <c r="U48" i="2"/>
  <c r="M49" i="2"/>
  <c r="P49" i="2"/>
  <c r="Q49" i="2"/>
  <c r="T49" i="2"/>
  <c r="U49" i="2"/>
  <c r="M50" i="2"/>
  <c r="P50" i="2"/>
  <c r="Q50" i="2"/>
  <c r="T50" i="2"/>
  <c r="U50" i="2"/>
  <c r="M51" i="2"/>
  <c r="P51" i="2"/>
  <c r="Q51" i="2"/>
  <c r="T51" i="2"/>
  <c r="U51" i="2"/>
  <c r="M52" i="2"/>
  <c r="P52" i="2"/>
  <c r="Q52" i="2"/>
  <c r="T52" i="2"/>
  <c r="U52" i="2"/>
  <c r="M53" i="2"/>
  <c r="P53" i="2"/>
  <c r="Q53" i="2"/>
  <c r="T53" i="2"/>
  <c r="U53" i="2"/>
  <c r="M54" i="2"/>
  <c r="P54" i="2"/>
  <c r="Q54" i="2"/>
  <c r="T54" i="2"/>
  <c r="U54" i="2"/>
  <c r="M55" i="2"/>
  <c r="P55" i="2"/>
  <c r="Q55" i="2"/>
  <c r="T55" i="2"/>
  <c r="U55" i="2"/>
  <c r="M56" i="2"/>
  <c r="P56" i="2"/>
  <c r="Q56" i="2"/>
  <c r="T56" i="2"/>
  <c r="U56" i="2"/>
  <c r="M57" i="2"/>
  <c r="P57" i="2"/>
  <c r="Q57" i="2"/>
  <c r="T57" i="2"/>
  <c r="U57" i="2"/>
  <c r="M58" i="2"/>
  <c r="P58" i="2"/>
  <c r="Q58" i="2"/>
  <c r="T58" i="2"/>
  <c r="U58" i="2"/>
  <c r="M59" i="2"/>
  <c r="P59" i="2"/>
  <c r="Q59" i="2"/>
  <c r="T59" i="2"/>
  <c r="U59" i="2"/>
  <c r="M60" i="2"/>
  <c r="P60" i="2"/>
  <c r="M61" i="2"/>
  <c r="P61" i="2"/>
  <c r="Q61" i="2"/>
  <c r="T61" i="2"/>
  <c r="U61" i="2"/>
  <c r="M62" i="2"/>
  <c r="P62" i="2"/>
  <c r="Q62" i="2"/>
  <c r="T62" i="2"/>
  <c r="U62" i="2"/>
  <c r="M63" i="2"/>
  <c r="P63" i="2"/>
  <c r="Q63" i="2"/>
  <c r="T63" i="2"/>
  <c r="U63" i="2"/>
  <c r="M64" i="2"/>
  <c r="P64" i="2"/>
  <c r="Q64" i="2"/>
  <c r="T64" i="2"/>
  <c r="U64" i="2"/>
  <c r="M65" i="2"/>
  <c r="P65" i="2"/>
  <c r="Q65" i="2"/>
  <c r="T65" i="2"/>
  <c r="U65" i="2"/>
  <c r="M66" i="2"/>
  <c r="P66" i="2"/>
  <c r="Q66" i="2"/>
  <c r="T66" i="2"/>
  <c r="U66" i="2"/>
  <c r="M67" i="2"/>
  <c r="P67" i="2"/>
  <c r="Q67" i="2"/>
  <c r="T67" i="2"/>
  <c r="U67" i="2"/>
  <c r="M68" i="2"/>
  <c r="P68" i="2"/>
  <c r="Q68" i="2"/>
  <c r="T68" i="2"/>
  <c r="U68" i="2"/>
  <c r="M69" i="2"/>
  <c r="P69" i="2"/>
  <c r="Q69" i="2"/>
  <c r="T69" i="2"/>
  <c r="U69" i="2"/>
  <c r="M70" i="2"/>
  <c r="P70" i="2"/>
  <c r="Q70" i="2"/>
  <c r="T70" i="2"/>
  <c r="U70" i="2"/>
  <c r="M71" i="2"/>
  <c r="P71" i="2"/>
  <c r="Q71" i="2"/>
  <c r="T71" i="2"/>
  <c r="U71" i="2"/>
  <c r="M72" i="2"/>
  <c r="P72" i="2"/>
  <c r="Q72" i="2"/>
  <c r="T72" i="2"/>
  <c r="U72" i="2"/>
  <c r="M73" i="2"/>
  <c r="P73" i="2"/>
  <c r="Q73" i="2"/>
  <c r="T73" i="2"/>
  <c r="U73" i="2"/>
  <c r="M74" i="2"/>
  <c r="P74" i="2"/>
  <c r="Q74" i="2"/>
  <c r="T74" i="2"/>
  <c r="U74" i="2"/>
  <c r="M75" i="2"/>
  <c r="P75" i="2"/>
  <c r="Q75" i="2"/>
  <c r="T75" i="2"/>
  <c r="U75" i="2"/>
  <c r="M76" i="2"/>
  <c r="P76" i="2"/>
  <c r="Q76" i="2"/>
  <c r="T76" i="2"/>
  <c r="U76" i="2"/>
  <c r="M77" i="2"/>
  <c r="P77" i="2"/>
  <c r="Q77" i="2"/>
  <c r="T77" i="2"/>
  <c r="U77" i="2"/>
  <c r="M78" i="2"/>
  <c r="P78" i="2"/>
  <c r="Q78" i="2"/>
  <c r="T78" i="2"/>
  <c r="U78" i="2"/>
  <c r="M79" i="2"/>
  <c r="P79" i="2"/>
  <c r="Q79" i="2"/>
  <c r="T79" i="2"/>
  <c r="U79" i="2"/>
  <c r="M80" i="2"/>
  <c r="P80" i="2"/>
  <c r="Q80" i="2"/>
  <c r="T80" i="2"/>
  <c r="U80" i="2"/>
  <c r="M81" i="2"/>
  <c r="P81" i="2"/>
  <c r="Q81" i="2"/>
  <c r="T81" i="2"/>
  <c r="U81" i="2"/>
  <c r="M82" i="2"/>
  <c r="P82" i="2"/>
  <c r="Q82" i="2"/>
  <c r="T82" i="2"/>
  <c r="U82" i="2"/>
  <c r="M83" i="2"/>
  <c r="P83" i="2"/>
  <c r="Q83" i="2"/>
  <c r="T83" i="2"/>
  <c r="U83" i="2"/>
  <c r="M84" i="2"/>
  <c r="P84" i="2"/>
  <c r="Q84" i="2"/>
  <c r="T84" i="2"/>
  <c r="U84" i="2"/>
  <c r="M85" i="2"/>
  <c r="P85" i="2"/>
  <c r="Q85" i="2"/>
  <c r="T85" i="2"/>
  <c r="U85" i="2"/>
  <c r="M86" i="2"/>
  <c r="P86" i="2"/>
  <c r="Q86" i="2"/>
  <c r="T86" i="2"/>
  <c r="U86" i="2"/>
  <c r="M87" i="2"/>
  <c r="P87" i="2"/>
  <c r="Q87" i="2"/>
  <c r="T87" i="2"/>
  <c r="U87" i="2"/>
  <c r="M88" i="2"/>
  <c r="P88" i="2"/>
  <c r="Q88" i="2"/>
  <c r="T88" i="2"/>
  <c r="U88" i="2"/>
  <c r="M89" i="2"/>
  <c r="P89" i="2"/>
  <c r="Q89" i="2"/>
  <c r="T89" i="2"/>
  <c r="U89" i="2"/>
  <c r="M90" i="2"/>
  <c r="P90" i="2"/>
  <c r="Q90" i="2"/>
  <c r="T90" i="2"/>
  <c r="U90" i="2"/>
  <c r="M91" i="2"/>
  <c r="P91" i="2"/>
  <c r="Q91" i="2"/>
  <c r="T91" i="2"/>
  <c r="U91" i="2"/>
  <c r="M92" i="2"/>
  <c r="P92" i="2"/>
  <c r="Q92" i="2"/>
  <c r="T92" i="2"/>
  <c r="U92" i="2"/>
  <c r="M93" i="2"/>
  <c r="P93" i="2"/>
  <c r="Q93" i="2"/>
  <c r="T93" i="2"/>
  <c r="U93" i="2"/>
  <c r="M94" i="2"/>
  <c r="P94" i="2"/>
  <c r="Q94" i="2"/>
  <c r="T94" i="2"/>
  <c r="U94" i="2"/>
  <c r="M95" i="2"/>
  <c r="P95" i="2"/>
  <c r="Q95" i="2"/>
  <c r="T95" i="2"/>
  <c r="U95" i="2"/>
  <c r="M96" i="2"/>
  <c r="P96" i="2"/>
  <c r="M97" i="2"/>
  <c r="P97" i="2"/>
  <c r="Q97" i="2"/>
  <c r="T97" i="2"/>
  <c r="U97" i="2"/>
  <c r="M98" i="2"/>
  <c r="P98" i="2"/>
  <c r="Q98" i="2"/>
  <c r="T98" i="2"/>
  <c r="U98" i="2"/>
  <c r="M99" i="2"/>
  <c r="P99" i="2"/>
  <c r="Q99" i="2"/>
  <c r="T99" i="2"/>
  <c r="U99" i="2"/>
  <c r="M100" i="2"/>
  <c r="P100" i="2"/>
  <c r="Q100" i="2"/>
  <c r="T100" i="2"/>
  <c r="U100" i="2"/>
  <c r="M101" i="2"/>
  <c r="P101" i="2"/>
  <c r="Q101" i="2"/>
  <c r="T101" i="2"/>
  <c r="U101" i="2"/>
  <c r="M102" i="2"/>
  <c r="P102" i="2"/>
  <c r="Q102" i="2"/>
  <c r="T102" i="2"/>
  <c r="U102" i="2"/>
  <c r="M103" i="2"/>
  <c r="P103" i="2"/>
  <c r="Q103" i="2"/>
  <c r="T103" i="2"/>
  <c r="U103" i="2"/>
  <c r="M104" i="2"/>
  <c r="P104" i="2"/>
  <c r="Q104" i="2"/>
  <c r="T104" i="2"/>
  <c r="U104" i="2"/>
  <c r="M105" i="2"/>
  <c r="P105" i="2"/>
  <c r="Q105" i="2"/>
  <c r="T105" i="2"/>
  <c r="U105" i="2"/>
  <c r="M106" i="2"/>
  <c r="P106" i="2"/>
  <c r="Q106" i="2"/>
  <c r="T106" i="2"/>
  <c r="U106" i="2"/>
  <c r="M107" i="2"/>
  <c r="P107" i="2"/>
  <c r="Q107" i="2"/>
  <c r="T107" i="2"/>
  <c r="U107" i="2"/>
  <c r="M108" i="2"/>
  <c r="P108" i="2"/>
  <c r="Q108" i="2"/>
  <c r="T108" i="2"/>
  <c r="U108" i="2"/>
  <c r="M109" i="2"/>
  <c r="P109" i="2"/>
  <c r="Q109" i="2"/>
  <c r="T109" i="2"/>
  <c r="U109" i="2"/>
  <c r="M110" i="2"/>
  <c r="P110" i="2"/>
  <c r="Q110" i="2"/>
  <c r="T110" i="2"/>
  <c r="U110" i="2"/>
  <c r="M111" i="2"/>
  <c r="P111" i="2"/>
  <c r="Q111" i="2"/>
  <c r="T111" i="2"/>
  <c r="U111" i="2"/>
  <c r="M112" i="2"/>
  <c r="P112" i="2"/>
  <c r="Q112" i="2"/>
  <c r="T112" i="2"/>
  <c r="U112" i="2"/>
  <c r="M113" i="2"/>
  <c r="P113" i="2"/>
  <c r="Q113" i="2"/>
  <c r="T113" i="2"/>
  <c r="U113" i="2"/>
  <c r="M114" i="2"/>
  <c r="P114" i="2"/>
  <c r="Q114" i="2"/>
  <c r="T114" i="2"/>
  <c r="U114" i="2"/>
  <c r="M115" i="2"/>
  <c r="P115" i="2"/>
  <c r="Q115" i="2"/>
  <c r="T115" i="2"/>
  <c r="U115" i="2"/>
  <c r="M116" i="2"/>
  <c r="P116" i="2"/>
  <c r="Q116" i="2"/>
  <c r="T116" i="2"/>
  <c r="U116" i="2"/>
  <c r="M117" i="2"/>
  <c r="P117" i="2"/>
  <c r="Q117" i="2"/>
  <c r="T117" i="2"/>
  <c r="U117" i="2"/>
  <c r="M118" i="2"/>
  <c r="P118" i="2"/>
  <c r="Q118" i="2"/>
  <c r="T118" i="2"/>
  <c r="U118" i="2"/>
  <c r="M119" i="2"/>
  <c r="P119" i="2"/>
  <c r="Q119" i="2"/>
  <c r="T119" i="2"/>
  <c r="U119" i="2"/>
  <c r="M120" i="2"/>
  <c r="P120" i="2"/>
  <c r="Q120" i="2"/>
  <c r="T120" i="2"/>
  <c r="U120" i="2"/>
  <c r="M121" i="2"/>
  <c r="P121" i="2"/>
  <c r="Q121" i="2"/>
  <c r="T121" i="2"/>
  <c r="U121" i="2"/>
  <c r="M122" i="2"/>
  <c r="P122" i="2"/>
  <c r="Q122" i="2"/>
  <c r="T122" i="2"/>
  <c r="U122" i="2"/>
  <c r="M123" i="2"/>
  <c r="P123" i="2"/>
  <c r="Q123" i="2"/>
  <c r="T123" i="2"/>
  <c r="U123" i="2"/>
  <c r="M124" i="2"/>
  <c r="P124" i="2"/>
  <c r="Q124" i="2"/>
  <c r="T124" i="2"/>
  <c r="U124" i="2"/>
  <c r="M125" i="2"/>
  <c r="P125" i="2"/>
  <c r="Q125" i="2"/>
  <c r="T125" i="2"/>
  <c r="U125" i="2"/>
  <c r="M126" i="2"/>
  <c r="P126" i="2"/>
  <c r="Q126" i="2"/>
  <c r="T126" i="2"/>
  <c r="U126" i="2"/>
  <c r="M127" i="2"/>
  <c r="P127" i="2"/>
  <c r="Q127" i="2"/>
  <c r="T127" i="2"/>
  <c r="U127" i="2"/>
  <c r="M128" i="2"/>
  <c r="P128" i="2"/>
  <c r="Q128" i="2"/>
  <c r="T128" i="2"/>
  <c r="U128" i="2"/>
  <c r="M129" i="2"/>
  <c r="P129" i="2"/>
  <c r="Q129" i="2"/>
  <c r="T129" i="2"/>
  <c r="U129" i="2"/>
  <c r="M130" i="2"/>
  <c r="P130" i="2"/>
  <c r="Q130" i="2"/>
  <c r="T130" i="2"/>
  <c r="U130" i="2"/>
  <c r="M131" i="2"/>
  <c r="P131" i="2"/>
  <c r="Q131" i="2"/>
  <c r="T131" i="2"/>
  <c r="U131" i="2"/>
  <c r="M132" i="2"/>
  <c r="P132" i="2"/>
  <c r="Q132" i="2"/>
  <c r="T132" i="2"/>
  <c r="U132" i="2"/>
  <c r="M133" i="2"/>
  <c r="P133" i="2"/>
  <c r="Q133" i="2"/>
  <c r="T133" i="2"/>
  <c r="U133" i="2"/>
  <c r="M134" i="2"/>
  <c r="P134" i="2"/>
  <c r="Q134" i="2"/>
  <c r="T134" i="2"/>
  <c r="U134" i="2"/>
  <c r="M135" i="2"/>
  <c r="P135" i="2"/>
  <c r="Q135" i="2"/>
  <c r="T135" i="2"/>
  <c r="U135" i="2"/>
  <c r="M136" i="2"/>
  <c r="P136" i="2"/>
  <c r="Q136" i="2"/>
  <c r="T136" i="2"/>
  <c r="U136" i="2"/>
  <c r="M137" i="2"/>
  <c r="P137" i="2"/>
  <c r="Q137" i="2"/>
  <c r="T137" i="2"/>
  <c r="U137" i="2"/>
  <c r="M138" i="2"/>
  <c r="P138" i="2"/>
  <c r="Q138" i="2"/>
  <c r="T138" i="2"/>
  <c r="U138" i="2"/>
  <c r="M139" i="2"/>
  <c r="P139" i="2"/>
  <c r="Q139" i="2"/>
  <c r="T139" i="2"/>
  <c r="U139" i="2"/>
  <c r="M140" i="2"/>
  <c r="P140" i="2"/>
  <c r="Q140" i="2"/>
  <c r="T140" i="2"/>
  <c r="U140" i="2"/>
  <c r="M141" i="2"/>
  <c r="P141" i="2"/>
  <c r="Q141" i="2"/>
  <c r="T141" i="2"/>
  <c r="U141" i="2"/>
  <c r="M142" i="2"/>
  <c r="P142" i="2"/>
  <c r="Q142" i="2"/>
  <c r="T142" i="2"/>
  <c r="U142" i="2"/>
  <c r="M143" i="2"/>
  <c r="P143" i="2"/>
  <c r="Q143" i="2"/>
  <c r="T143" i="2"/>
  <c r="U143" i="2"/>
  <c r="M144" i="2"/>
  <c r="P144" i="2"/>
  <c r="Q144" i="2"/>
  <c r="T144" i="2"/>
  <c r="U144" i="2"/>
  <c r="M145" i="2"/>
  <c r="P145" i="2"/>
  <c r="Q145" i="2"/>
  <c r="T145" i="2"/>
  <c r="U145" i="2"/>
  <c r="M146" i="2"/>
  <c r="P146" i="2"/>
  <c r="Q146" i="2"/>
  <c r="T146" i="2"/>
  <c r="U146" i="2"/>
  <c r="M147" i="2"/>
  <c r="P147" i="2"/>
  <c r="Q147" i="2"/>
  <c r="T147" i="2"/>
  <c r="U147" i="2"/>
  <c r="M148" i="2"/>
  <c r="P148" i="2"/>
  <c r="Q148" i="2"/>
  <c r="T148" i="2"/>
  <c r="U148" i="2"/>
  <c r="M149" i="2"/>
  <c r="P149" i="2"/>
  <c r="Q149" i="2"/>
  <c r="T149" i="2"/>
  <c r="U149" i="2"/>
  <c r="M150" i="2"/>
  <c r="P150" i="2"/>
  <c r="Q150" i="2"/>
  <c r="T150" i="2"/>
  <c r="U150" i="2"/>
  <c r="M151" i="2"/>
  <c r="P151" i="2"/>
  <c r="Q151" i="2"/>
  <c r="T151" i="2"/>
  <c r="U151" i="2"/>
  <c r="M152" i="2"/>
  <c r="P152" i="2"/>
  <c r="Q152" i="2"/>
  <c r="T152" i="2"/>
  <c r="U152" i="2"/>
  <c r="M153" i="2"/>
  <c r="P153" i="2"/>
  <c r="Q153" i="2"/>
  <c r="T153" i="2"/>
  <c r="U153" i="2"/>
  <c r="M154" i="2"/>
  <c r="P154" i="2"/>
  <c r="Q154" i="2"/>
  <c r="T154" i="2"/>
  <c r="U154" i="2"/>
  <c r="M155" i="2"/>
  <c r="P155" i="2"/>
  <c r="Q155" i="2"/>
  <c r="T155" i="2"/>
  <c r="U155" i="2"/>
  <c r="M156" i="2"/>
  <c r="P156" i="2"/>
  <c r="Q156" i="2"/>
  <c r="T156" i="2"/>
  <c r="U156" i="2"/>
  <c r="M157" i="2"/>
  <c r="P157" i="2"/>
  <c r="Q157" i="2"/>
  <c r="T157" i="2"/>
  <c r="U157" i="2"/>
  <c r="M158" i="2"/>
  <c r="P158" i="2"/>
  <c r="Q158" i="2"/>
  <c r="T158" i="2"/>
  <c r="U158" i="2"/>
  <c r="M159" i="2"/>
  <c r="P159" i="2"/>
  <c r="Q159" i="2"/>
  <c r="T159" i="2"/>
  <c r="U159" i="2"/>
  <c r="M160" i="2"/>
  <c r="P160" i="2"/>
  <c r="Q160" i="2"/>
  <c r="T160" i="2"/>
  <c r="U160" i="2"/>
  <c r="M161" i="2"/>
  <c r="P161" i="2"/>
  <c r="Q161" i="2"/>
  <c r="T161" i="2"/>
  <c r="U161" i="2"/>
  <c r="M162" i="2"/>
  <c r="P162" i="2"/>
  <c r="Q162" i="2"/>
  <c r="T162" i="2"/>
  <c r="U162" i="2"/>
  <c r="M163" i="2"/>
  <c r="P163" i="2"/>
  <c r="Q163" i="2"/>
  <c r="T163" i="2"/>
  <c r="U163" i="2"/>
  <c r="M164" i="2"/>
  <c r="P164" i="2"/>
  <c r="Q164" i="2"/>
  <c r="T164" i="2"/>
  <c r="U164" i="2"/>
  <c r="M165" i="2"/>
  <c r="P165" i="2"/>
  <c r="Q165" i="2"/>
  <c r="T165" i="2"/>
  <c r="U165" i="2"/>
  <c r="M166" i="2"/>
  <c r="P166" i="2"/>
  <c r="Q166" i="2"/>
  <c r="T166" i="2"/>
  <c r="U166" i="2"/>
  <c r="M167" i="2"/>
  <c r="P167" i="2"/>
  <c r="Q167" i="2"/>
  <c r="T167" i="2"/>
  <c r="U167" i="2"/>
  <c r="M168" i="2"/>
  <c r="P168" i="2"/>
  <c r="Q168" i="2"/>
  <c r="T168" i="2"/>
  <c r="U168" i="2"/>
  <c r="M169" i="2"/>
  <c r="P169" i="2"/>
  <c r="Q169" i="2"/>
  <c r="T169" i="2"/>
  <c r="U169" i="2"/>
  <c r="M170" i="2"/>
  <c r="P170" i="2"/>
  <c r="Q170" i="2"/>
  <c r="T170" i="2"/>
  <c r="U170" i="2"/>
  <c r="M171" i="2"/>
  <c r="P171" i="2"/>
  <c r="Q171" i="2"/>
  <c r="T171" i="2"/>
  <c r="U171" i="2"/>
  <c r="M172" i="2"/>
  <c r="P172" i="2"/>
  <c r="Q172" i="2"/>
  <c r="T172" i="2"/>
  <c r="U172" i="2"/>
  <c r="M173" i="2"/>
  <c r="P173" i="2"/>
  <c r="Q173" i="2"/>
  <c r="T173" i="2"/>
  <c r="U173" i="2"/>
  <c r="M174" i="2"/>
  <c r="P174" i="2"/>
  <c r="Q174" i="2"/>
  <c r="T174" i="2"/>
  <c r="U174" i="2"/>
  <c r="M175" i="2"/>
  <c r="P175" i="2"/>
  <c r="Q175" i="2"/>
  <c r="T175" i="2"/>
  <c r="U175" i="2"/>
  <c r="M176" i="2"/>
  <c r="P176" i="2"/>
  <c r="Q176" i="2"/>
  <c r="T176" i="2"/>
  <c r="U176" i="2"/>
  <c r="M177" i="2"/>
  <c r="P177" i="2"/>
  <c r="Q177" i="2"/>
  <c r="T177" i="2"/>
  <c r="U177" i="2"/>
  <c r="M178" i="2"/>
  <c r="P178" i="2"/>
  <c r="Q178" i="2"/>
  <c r="T178" i="2"/>
  <c r="U178" i="2"/>
  <c r="M179" i="2"/>
  <c r="P179" i="2"/>
  <c r="Q179" i="2"/>
  <c r="T179" i="2"/>
  <c r="U179" i="2"/>
  <c r="M180" i="2"/>
  <c r="P180" i="2"/>
  <c r="Q180" i="2"/>
  <c r="T180" i="2"/>
  <c r="U180" i="2"/>
  <c r="M181" i="2"/>
  <c r="P181" i="2"/>
  <c r="Q181" i="2"/>
  <c r="T181" i="2"/>
  <c r="U181" i="2"/>
  <c r="M182" i="2"/>
  <c r="P182" i="2"/>
  <c r="Q182" i="2"/>
  <c r="T182" i="2"/>
  <c r="U182" i="2"/>
  <c r="M183" i="2"/>
  <c r="P183" i="2"/>
  <c r="Q183" i="2"/>
  <c r="T183" i="2"/>
  <c r="U183" i="2"/>
  <c r="M184" i="2"/>
  <c r="P184" i="2"/>
  <c r="Q184" i="2"/>
  <c r="T184" i="2"/>
  <c r="U184" i="2"/>
  <c r="M185" i="2"/>
  <c r="P185" i="2"/>
  <c r="Q185" i="2"/>
  <c r="T185" i="2"/>
  <c r="U185" i="2"/>
  <c r="M186" i="2"/>
  <c r="P186" i="2"/>
  <c r="Q186" i="2"/>
  <c r="T186" i="2"/>
  <c r="U186" i="2"/>
  <c r="M187" i="2"/>
  <c r="P187" i="2"/>
  <c r="Q187" i="2"/>
  <c r="T187" i="2"/>
  <c r="U187" i="2"/>
  <c r="M188" i="2"/>
  <c r="P188" i="2"/>
  <c r="Q188" i="2"/>
  <c r="T188" i="2"/>
  <c r="U188" i="2"/>
  <c r="M189" i="2"/>
  <c r="P189" i="2"/>
  <c r="Q189" i="2"/>
  <c r="T189" i="2"/>
  <c r="U189" i="2"/>
  <c r="M190" i="2"/>
  <c r="P190" i="2"/>
  <c r="Q190" i="2"/>
  <c r="T190" i="2"/>
  <c r="U190" i="2"/>
  <c r="M191" i="2"/>
  <c r="P191" i="2"/>
  <c r="Q191" i="2"/>
  <c r="T191" i="2"/>
  <c r="U191" i="2"/>
  <c r="M192" i="2"/>
  <c r="P192" i="2"/>
  <c r="Q192" i="2"/>
  <c r="T192" i="2"/>
  <c r="U192" i="2"/>
  <c r="M193" i="2"/>
  <c r="P193" i="2"/>
  <c r="Q193" i="2"/>
  <c r="T193" i="2"/>
  <c r="U193" i="2"/>
  <c r="M194" i="2"/>
  <c r="P194" i="2"/>
  <c r="Q194" i="2"/>
  <c r="T194" i="2"/>
  <c r="U194" i="2"/>
  <c r="M195" i="2"/>
  <c r="P195" i="2"/>
  <c r="Q195" i="2"/>
  <c r="T195" i="2"/>
  <c r="U195" i="2"/>
  <c r="M196" i="2"/>
  <c r="P196" i="2"/>
  <c r="Q196" i="2"/>
  <c r="T196" i="2"/>
  <c r="U196" i="2"/>
  <c r="M197" i="2"/>
  <c r="P197" i="2"/>
  <c r="Q197" i="2"/>
  <c r="T197" i="2"/>
  <c r="U197" i="2"/>
  <c r="M198" i="2"/>
  <c r="P198" i="2"/>
  <c r="Q198" i="2"/>
  <c r="T198" i="2"/>
  <c r="U198" i="2"/>
  <c r="M199" i="2"/>
  <c r="P199" i="2"/>
  <c r="Q199" i="2"/>
  <c r="T199" i="2"/>
  <c r="U199" i="2"/>
  <c r="M200" i="2"/>
  <c r="P200" i="2"/>
  <c r="Q200" i="2"/>
  <c r="T200" i="2"/>
  <c r="U200" i="2"/>
  <c r="M201" i="2"/>
  <c r="P201" i="2"/>
  <c r="Q201" i="2"/>
  <c r="T201" i="2"/>
  <c r="U201" i="2"/>
  <c r="M202" i="2"/>
  <c r="P202" i="2"/>
  <c r="Q202" i="2"/>
  <c r="T202" i="2"/>
  <c r="U202" i="2"/>
  <c r="M203" i="2"/>
  <c r="P203" i="2"/>
  <c r="Q203" i="2"/>
  <c r="T203" i="2"/>
  <c r="U203" i="2"/>
  <c r="M204" i="2"/>
  <c r="P204" i="2"/>
  <c r="Q204" i="2"/>
  <c r="T204" i="2"/>
  <c r="U204" i="2"/>
  <c r="M205" i="2"/>
  <c r="P205" i="2"/>
  <c r="Q205" i="2"/>
  <c r="T205" i="2"/>
  <c r="U205" i="2"/>
  <c r="M206" i="2"/>
  <c r="P206" i="2"/>
  <c r="Q206" i="2"/>
  <c r="T206" i="2"/>
  <c r="U206" i="2"/>
  <c r="M207" i="2"/>
  <c r="P207" i="2"/>
  <c r="Q207" i="2"/>
  <c r="T207" i="2"/>
  <c r="U207" i="2"/>
  <c r="M208" i="2"/>
  <c r="P208" i="2"/>
  <c r="Q208" i="2"/>
  <c r="T208" i="2"/>
  <c r="U208" i="2"/>
  <c r="M209" i="2"/>
  <c r="P209" i="2"/>
  <c r="Q209" i="2"/>
  <c r="T209" i="2"/>
  <c r="U209" i="2"/>
  <c r="M210" i="2"/>
  <c r="P210" i="2"/>
  <c r="Q210" i="2"/>
  <c r="T210" i="2"/>
  <c r="U210" i="2"/>
  <c r="M211" i="2"/>
  <c r="P211" i="2"/>
  <c r="Q211" i="2"/>
  <c r="T211" i="2"/>
  <c r="U211" i="2"/>
  <c r="M212" i="2"/>
  <c r="P212" i="2"/>
  <c r="Q212" i="2"/>
  <c r="T212" i="2"/>
  <c r="U212" i="2"/>
  <c r="M213" i="2"/>
  <c r="P213" i="2"/>
  <c r="Q213" i="2"/>
  <c r="T213" i="2"/>
  <c r="U213" i="2"/>
  <c r="M214" i="2"/>
  <c r="P214" i="2"/>
  <c r="Q214" i="2"/>
  <c r="T214" i="2"/>
  <c r="U214" i="2"/>
  <c r="M215" i="2"/>
  <c r="P215" i="2"/>
  <c r="Q215" i="2"/>
  <c r="T215" i="2"/>
  <c r="U215" i="2"/>
  <c r="M216" i="2"/>
  <c r="P216" i="2"/>
  <c r="Q216" i="2"/>
  <c r="T216" i="2"/>
  <c r="U216" i="2"/>
  <c r="M217" i="2"/>
  <c r="P217" i="2"/>
  <c r="Q217" i="2"/>
  <c r="T217" i="2"/>
  <c r="U217" i="2"/>
  <c r="M218" i="2"/>
  <c r="P218" i="2"/>
  <c r="Q218" i="2"/>
  <c r="T218" i="2"/>
  <c r="U218" i="2"/>
  <c r="M219" i="2"/>
  <c r="P219" i="2"/>
  <c r="Q219" i="2"/>
  <c r="T219" i="2"/>
  <c r="U219" i="2"/>
  <c r="M220" i="2"/>
  <c r="P220" i="2"/>
  <c r="Q220" i="2"/>
  <c r="T220" i="2"/>
  <c r="U220" i="2"/>
  <c r="M221" i="2"/>
  <c r="P221" i="2"/>
  <c r="Q221" i="2"/>
  <c r="T221" i="2"/>
  <c r="U221" i="2"/>
  <c r="M222" i="2"/>
  <c r="P222" i="2"/>
  <c r="Q222" i="2"/>
  <c r="T222" i="2"/>
  <c r="U222" i="2"/>
  <c r="M223" i="2"/>
  <c r="P223" i="2"/>
  <c r="Q223" i="2"/>
  <c r="T223" i="2"/>
  <c r="U223" i="2"/>
  <c r="M224" i="2"/>
  <c r="P224" i="2"/>
  <c r="Q224" i="2"/>
  <c r="T224" i="2"/>
  <c r="U224" i="2"/>
  <c r="M225" i="2"/>
  <c r="P225" i="2"/>
  <c r="Q225" i="2"/>
  <c r="T225" i="2"/>
  <c r="U225" i="2"/>
  <c r="M226" i="2"/>
  <c r="P226" i="2"/>
  <c r="Q226" i="2"/>
  <c r="T226" i="2"/>
  <c r="U226" i="2"/>
  <c r="M227" i="2"/>
  <c r="P227" i="2"/>
  <c r="Q227" i="2"/>
  <c r="T227" i="2"/>
  <c r="U227" i="2"/>
  <c r="M228" i="2"/>
  <c r="P228" i="2"/>
  <c r="Q228" i="2"/>
  <c r="T228" i="2"/>
  <c r="U228" i="2"/>
  <c r="M229" i="2"/>
  <c r="P229" i="2"/>
  <c r="Q229" i="2"/>
  <c r="T229" i="2"/>
  <c r="U229" i="2"/>
  <c r="M230" i="2"/>
  <c r="P230" i="2"/>
  <c r="Q230" i="2"/>
  <c r="T230" i="2"/>
  <c r="U230" i="2"/>
  <c r="M231" i="2"/>
  <c r="P231" i="2"/>
  <c r="Q231" i="2"/>
  <c r="T231" i="2"/>
  <c r="U231" i="2"/>
  <c r="M232" i="2"/>
  <c r="P232" i="2"/>
  <c r="Q232" i="2"/>
  <c r="T232" i="2"/>
  <c r="U232" i="2"/>
  <c r="M233" i="2"/>
  <c r="P233" i="2"/>
  <c r="Q233" i="2"/>
  <c r="T233" i="2"/>
  <c r="U233" i="2"/>
  <c r="M234" i="2"/>
  <c r="P234" i="2"/>
  <c r="Q234" i="2"/>
  <c r="T234" i="2"/>
  <c r="U234" i="2"/>
  <c r="M235" i="2"/>
  <c r="P235" i="2"/>
  <c r="Q235" i="2"/>
  <c r="T235" i="2"/>
  <c r="U235" i="2"/>
  <c r="M236" i="2"/>
  <c r="P236" i="2"/>
  <c r="Q236" i="2"/>
  <c r="T236" i="2"/>
  <c r="U236" i="2"/>
  <c r="M237" i="2"/>
  <c r="P237" i="2"/>
  <c r="Q237" i="2"/>
  <c r="T237" i="2"/>
  <c r="U237" i="2"/>
  <c r="M238" i="2"/>
  <c r="P238" i="2"/>
  <c r="Q238" i="2"/>
  <c r="T238" i="2"/>
  <c r="U238" i="2"/>
  <c r="M239" i="2"/>
  <c r="P239" i="2"/>
  <c r="Q239" i="2"/>
  <c r="T239" i="2"/>
  <c r="U239" i="2"/>
  <c r="M240" i="2"/>
  <c r="P240" i="2"/>
  <c r="Q240" i="2"/>
  <c r="T240" i="2"/>
  <c r="U240" i="2"/>
  <c r="M241" i="2"/>
  <c r="P241" i="2"/>
  <c r="Q241" i="2"/>
  <c r="T241" i="2"/>
  <c r="U241" i="2"/>
  <c r="M242" i="2"/>
  <c r="P242" i="2"/>
  <c r="Q242" i="2"/>
  <c r="T242" i="2"/>
  <c r="U242" i="2"/>
  <c r="M243" i="2"/>
  <c r="P243" i="2"/>
  <c r="Q243" i="2"/>
  <c r="T243" i="2"/>
  <c r="U243" i="2"/>
  <c r="M244" i="2"/>
  <c r="P244" i="2"/>
  <c r="Q244" i="2"/>
  <c r="T244" i="2"/>
  <c r="U244" i="2"/>
  <c r="M245" i="2"/>
  <c r="P245" i="2"/>
  <c r="Q245" i="2"/>
  <c r="T245" i="2"/>
  <c r="U245" i="2"/>
  <c r="M246" i="2"/>
  <c r="P246" i="2"/>
  <c r="Q246" i="2"/>
  <c r="T246" i="2"/>
  <c r="U246" i="2"/>
  <c r="M247" i="2"/>
  <c r="P247" i="2"/>
  <c r="Q247" i="2"/>
  <c r="T247" i="2"/>
  <c r="U247" i="2"/>
  <c r="M248" i="2"/>
  <c r="P248" i="2"/>
  <c r="Q248" i="2"/>
  <c r="T248" i="2"/>
  <c r="U248" i="2"/>
  <c r="M249" i="2"/>
  <c r="P249" i="2"/>
  <c r="Q249" i="2"/>
  <c r="T249" i="2"/>
  <c r="U249" i="2"/>
  <c r="M250" i="2"/>
  <c r="P250" i="2"/>
  <c r="Q250" i="2"/>
  <c r="T250" i="2"/>
  <c r="U250" i="2"/>
  <c r="M251" i="2"/>
  <c r="P251" i="2"/>
  <c r="Q251" i="2"/>
  <c r="T251" i="2"/>
  <c r="U251" i="2"/>
  <c r="M252" i="2"/>
  <c r="P252" i="2"/>
  <c r="Q252" i="2"/>
  <c r="T252" i="2"/>
  <c r="U252" i="2"/>
  <c r="M253" i="2"/>
  <c r="P253" i="2"/>
  <c r="Q253" i="2"/>
  <c r="T253" i="2"/>
  <c r="U253" i="2"/>
  <c r="M254" i="2"/>
  <c r="P254" i="2"/>
  <c r="Q254" i="2"/>
  <c r="T254" i="2"/>
  <c r="U254" i="2"/>
  <c r="M255" i="2"/>
  <c r="P255" i="2"/>
  <c r="Q255" i="2"/>
  <c r="T255" i="2"/>
  <c r="U255" i="2"/>
  <c r="M256" i="2"/>
  <c r="P256" i="2"/>
  <c r="Q256" i="2"/>
  <c r="T256" i="2"/>
  <c r="U256" i="2"/>
  <c r="M257" i="2"/>
  <c r="P257" i="2"/>
  <c r="Q257" i="2"/>
  <c r="T257" i="2"/>
  <c r="U257" i="2"/>
  <c r="M258" i="2"/>
  <c r="P258" i="2"/>
  <c r="Q258" i="2"/>
  <c r="T258" i="2"/>
  <c r="U258" i="2"/>
  <c r="M259" i="2"/>
  <c r="P259" i="2"/>
  <c r="Q259" i="2"/>
  <c r="T259" i="2"/>
  <c r="U259" i="2"/>
  <c r="M260" i="2"/>
  <c r="P260" i="2"/>
  <c r="Q260" i="2"/>
  <c r="T260" i="2"/>
  <c r="U260" i="2"/>
  <c r="M261" i="2"/>
  <c r="P261" i="2"/>
  <c r="Q261" i="2"/>
  <c r="T261" i="2"/>
  <c r="U261" i="2"/>
  <c r="M262" i="2"/>
  <c r="P262" i="2"/>
  <c r="Q262" i="2"/>
  <c r="T262" i="2"/>
  <c r="U262" i="2"/>
  <c r="M263" i="2"/>
  <c r="P263" i="2"/>
  <c r="Q263" i="2"/>
  <c r="T263" i="2"/>
  <c r="U263" i="2"/>
  <c r="M264" i="2"/>
  <c r="P264" i="2"/>
  <c r="Q264" i="2"/>
  <c r="T264" i="2"/>
  <c r="U264" i="2"/>
  <c r="M265" i="2"/>
  <c r="P265" i="2"/>
  <c r="Q265" i="2"/>
  <c r="T265" i="2"/>
  <c r="U265" i="2"/>
  <c r="M266" i="2"/>
  <c r="P266" i="2"/>
  <c r="Q266" i="2"/>
  <c r="T266" i="2"/>
  <c r="U266" i="2"/>
  <c r="M267" i="2"/>
  <c r="P267" i="2"/>
  <c r="Q267" i="2"/>
  <c r="T267" i="2"/>
  <c r="U267" i="2"/>
  <c r="M268" i="2"/>
  <c r="P268" i="2"/>
  <c r="Q268" i="2"/>
  <c r="T268" i="2"/>
  <c r="U268" i="2"/>
  <c r="M269" i="2"/>
  <c r="P269" i="2"/>
  <c r="Q269" i="2"/>
  <c r="T269" i="2"/>
  <c r="U269" i="2"/>
  <c r="M270" i="2"/>
  <c r="P270" i="2"/>
  <c r="Q270" i="2"/>
  <c r="T270" i="2"/>
  <c r="U270" i="2"/>
  <c r="M271" i="2"/>
  <c r="P271" i="2"/>
  <c r="Q271" i="2"/>
  <c r="T271" i="2"/>
  <c r="U271" i="2"/>
  <c r="M272" i="2"/>
  <c r="P272" i="2"/>
  <c r="Q272" i="2"/>
  <c r="T272" i="2"/>
  <c r="U272" i="2"/>
  <c r="M273" i="2"/>
  <c r="P273" i="2"/>
  <c r="Q273" i="2"/>
  <c r="T273" i="2"/>
  <c r="U273" i="2"/>
  <c r="M274" i="2"/>
  <c r="P274" i="2"/>
  <c r="Q274" i="2"/>
  <c r="T274" i="2"/>
  <c r="U274" i="2"/>
  <c r="M275" i="2"/>
  <c r="P275" i="2"/>
  <c r="Q275" i="2"/>
  <c r="T275" i="2"/>
  <c r="U275" i="2"/>
  <c r="M276" i="2"/>
  <c r="P276" i="2"/>
  <c r="Q276" i="2"/>
  <c r="T276" i="2"/>
  <c r="U276" i="2"/>
  <c r="M277" i="2"/>
  <c r="P277" i="2"/>
  <c r="Q277" i="2"/>
  <c r="T277" i="2"/>
  <c r="U277" i="2"/>
  <c r="M278" i="2"/>
  <c r="P278" i="2"/>
  <c r="Q278" i="2"/>
  <c r="T278" i="2"/>
  <c r="U278" i="2"/>
  <c r="M279" i="2"/>
  <c r="P279" i="2"/>
  <c r="Q279" i="2"/>
  <c r="T279" i="2"/>
  <c r="U279" i="2"/>
  <c r="M280" i="2"/>
  <c r="P280" i="2"/>
  <c r="Q280" i="2"/>
  <c r="T280" i="2"/>
  <c r="U280" i="2"/>
  <c r="M281" i="2"/>
  <c r="P281" i="2"/>
  <c r="Q281" i="2"/>
  <c r="T281" i="2"/>
  <c r="U281" i="2"/>
  <c r="M282" i="2"/>
  <c r="P282" i="2"/>
  <c r="Q282" i="2"/>
  <c r="T282" i="2"/>
  <c r="U282" i="2"/>
  <c r="M283" i="2"/>
  <c r="P283" i="2"/>
  <c r="Q283" i="2"/>
  <c r="T283" i="2"/>
  <c r="U283" i="2"/>
  <c r="M284" i="2"/>
  <c r="P284" i="2"/>
  <c r="Q284" i="2"/>
  <c r="T284" i="2"/>
  <c r="U284" i="2"/>
  <c r="M285" i="2"/>
  <c r="P285" i="2"/>
  <c r="Q285" i="2"/>
  <c r="T285" i="2"/>
  <c r="U285" i="2"/>
  <c r="M286" i="2"/>
  <c r="P286" i="2"/>
  <c r="Q286" i="2"/>
  <c r="T286" i="2"/>
  <c r="U286" i="2"/>
  <c r="M287" i="2"/>
  <c r="P287" i="2"/>
  <c r="Q287" i="2"/>
  <c r="T287" i="2"/>
  <c r="U287" i="2"/>
  <c r="M288" i="2"/>
  <c r="P288" i="2"/>
  <c r="Q288" i="2"/>
  <c r="T288" i="2"/>
  <c r="U288" i="2"/>
  <c r="M289" i="2"/>
  <c r="P289" i="2"/>
  <c r="Q289" i="2"/>
  <c r="T289" i="2"/>
  <c r="U289" i="2"/>
  <c r="M290" i="2"/>
  <c r="P290" i="2"/>
  <c r="Q290" i="2"/>
  <c r="T290" i="2"/>
  <c r="U290" i="2"/>
  <c r="M291" i="2"/>
  <c r="P291" i="2"/>
  <c r="Q291" i="2"/>
  <c r="T291" i="2"/>
  <c r="U291" i="2"/>
  <c r="M292" i="2"/>
  <c r="P292" i="2"/>
  <c r="Q292" i="2"/>
  <c r="T292" i="2"/>
  <c r="U292" i="2"/>
  <c r="M293" i="2"/>
  <c r="P293" i="2"/>
  <c r="Q293" i="2"/>
  <c r="T293" i="2"/>
  <c r="U293" i="2"/>
  <c r="M294" i="2"/>
  <c r="P294" i="2"/>
  <c r="Q294" i="2"/>
  <c r="T294" i="2"/>
  <c r="U294" i="2"/>
  <c r="M295" i="2"/>
  <c r="P295" i="2"/>
  <c r="Q295" i="2"/>
  <c r="T295" i="2"/>
  <c r="U295" i="2"/>
  <c r="M296" i="2"/>
  <c r="P296" i="2"/>
  <c r="Q296" i="2"/>
  <c r="T296" i="2"/>
  <c r="U296" i="2"/>
  <c r="M297" i="2"/>
  <c r="P297" i="2"/>
  <c r="Q297" i="2"/>
  <c r="T297" i="2"/>
  <c r="U297" i="2"/>
  <c r="M298" i="2"/>
  <c r="P298" i="2"/>
  <c r="Q298" i="2"/>
  <c r="T298" i="2"/>
  <c r="U298" i="2"/>
  <c r="M299" i="2"/>
  <c r="P299" i="2"/>
  <c r="Q299" i="2"/>
  <c r="T299" i="2"/>
  <c r="U299" i="2"/>
  <c r="M300" i="2"/>
  <c r="P300" i="2"/>
  <c r="Q300" i="2"/>
  <c r="T300" i="2"/>
  <c r="U300" i="2"/>
  <c r="M301" i="2"/>
  <c r="P301" i="2"/>
  <c r="Q301" i="2"/>
  <c r="T301" i="2"/>
  <c r="U301" i="2"/>
  <c r="M302" i="2"/>
  <c r="P302" i="2"/>
  <c r="Q302" i="2"/>
  <c r="T302" i="2"/>
  <c r="U302" i="2"/>
  <c r="M303" i="2"/>
  <c r="P303" i="2"/>
  <c r="Q303" i="2"/>
  <c r="T303" i="2"/>
  <c r="U303" i="2"/>
  <c r="M304" i="2"/>
  <c r="P304" i="2"/>
  <c r="Q304" i="2"/>
  <c r="T304" i="2"/>
  <c r="U304" i="2"/>
  <c r="M305" i="2"/>
  <c r="P305" i="2"/>
  <c r="Q305" i="2"/>
  <c r="T305" i="2"/>
  <c r="U305" i="2"/>
  <c r="M306" i="2"/>
  <c r="P306" i="2"/>
  <c r="Q306" i="2"/>
  <c r="T306" i="2"/>
  <c r="U306" i="2"/>
  <c r="M307" i="2"/>
  <c r="P307" i="2"/>
  <c r="Q307" i="2"/>
  <c r="T307" i="2"/>
  <c r="U307" i="2"/>
  <c r="M308" i="2"/>
  <c r="P308" i="2"/>
  <c r="Q308" i="2"/>
  <c r="T308" i="2"/>
  <c r="U308" i="2"/>
  <c r="M309" i="2"/>
  <c r="P309" i="2"/>
  <c r="Q309" i="2"/>
  <c r="T309" i="2"/>
  <c r="U309" i="2"/>
  <c r="M310" i="2"/>
  <c r="P310" i="2"/>
  <c r="Q310" i="2"/>
  <c r="T310" i="2"/>
  <c r="U310" i="2"/>
  <c r="M311" i="2"/>
  <c r="P311" i="2"/>
  <c r="Q311" i="2"/>
  <c r="T311" i="2"/>
  <c r="U311" i="2"/>
  <c r="M312" i="2"/>
  <c r="P312" i="2"/>
  <c r="Q312" i="2"/>
  <c r="T312" i="2"/>
  <c r="U312" i="2"/>
  <c r="M313" i="2"/>
  <c r="P313" i="2"/>
  <c r="Q313" i="2"/>
  <c r="T313" i="2"/>
  <c r="U313" i="2"/>
  <c r="M314" i="2"/>
  <c r="P314" i="2"/>
  <c r="Q314" i="2"/>
  <c r="T314" i="2"/>
  <c r="U314" i="2"/>
  <c r="M315" i="2"/>
  <c r="P315" i="2"/>
  <c r="Q315" i="2"/>
  <c r="T315" i="2"/>
  <c r="U315" i="2"/>
  <c r="M316" i="2"/>
  <c r="P316" i="2"/>
  <c r="Q316" i="2"/>
  <c r="T316" i="2"/>
  <c r="U316" i="2"/>
  <c r="M317" i="2"/>
  <c r="P317" i="2"/>
  <c r="Q317" i="2"/>
  <c r="T317" i="2"/>
  <c r="U317" i="2"/>
  <c r="M318" i="2"/>
  <c r="P318" i="2"/>
  <c r="Q318" i="2"/>
  <c r="T318" i="2"/>
  <c r="U318" i="2"/>
  <c r="M319" i="2"/>
  <c r="P319" i="2"/>
  <c r="Q319" i="2"/>
  <c r="T319" i="2"/>
  <c r="U319" i="2"/>
  <c r="M320" i="2"/>
  <c r="P320" i="2"/>
  <c r="Q320" i="2"/>
  <c r="T320" i="2"/>
  <c r="U320" i="2"/>
  <c r="M321" i="2"/>
  <c r="P321" i="2"/>
  <c r="Q321" i="2"/>
  <c r="T321" i="2"/>
  <c r="U321" i="2"/>
  <c r="M322" i="2"/>
  <c r="P322" i="2"/>
  <c r="Q322" i="2"/>
  <c r="T322" i="2"/>
  <c r="U322" i="2"/>
  <c r="M323" i="2"/>
  <c r="P323" i="2"/>
  <c r="Q323" i="2"/>
  <c r="T323" i="2"/>
  <c r="U323" i="2"/>
  <c r="M324" i="2"/>
  <c r="P324" i="2"/>
  <c r="Q324" i="2"/>
  <c r="T324" i="2"/>
  <c r="U324" i="2"/>
  <c r="M325" i="2"/>
  <c r="P325" i="2"/>
  <c r="Q325" i="2"/>
  <c r="T325" i="2"/>
  <c r="U325" i="2"/>
  <c r="M326" i="2"/>
  <c r="P326" i="2"/>
  <c r="Q326" i="2"/>
  <c r="T326" i="2"/>
  <c r="U326" i="2"/>
  <c r="M327" i="2"/>
  <c r="P327" i="2"/>
  <c r="Q327" i="2"/>
  <c r="T327" i="2"/>
  <c r="U327" i="2"/>
  <c r="M328" i="2"/>
  <c r="P328" i="2"/>
  <c r="Q328" i="2"/>
  <c r="T328" i="2"/>
  <c r="U328" i="2"/>
  <c r="M329" i="2"/>
  <c r="P329" i="2"/>
  <c r="Q329" i="2"/>
  <c r="T329" i="2"/>
  <c r="U329" i="2"/>
  <c r="M330" i="2"/>
  <c r="P330" i="2"/>
  <c r="Q330" i="2"/>
  <c r="T330" i="2"/>
  <c r="U330" i="2"/>
  <c r="M331" i="2"/>
  <c r="P331" i="2"/>
  <c r="Q331" i="2"/>
  <c r="T331" i="2"/>
  <c r="U331" i="2"/>
  <c r="M332" i="2"/>
  <c r="P332" i="2"/>
  <c r="Q332" i="2"/>
  <c r="T332" i="2"/>
  <c r="U332" i="2"/>
  <c r="M333" i="2"/>
  <c r="P333" i="2"/>
  <c r="Q333" i="2"/>
  <c r="T333" i="2"/>
  <c r="U333" i="2"/>
  <c r="M334" i="2"/>
  <c r="P334" i="2"/>
  <c r="Q334" i="2"/>
  <c r="T334" i="2"/>
  <c r="U334" i="2"/>
  <c r="M335" i="2"/>
  <c r="P335" i="2"/>
  <c r="Q335" i="2"/>
  <c r="T335" i="2"/>
  <c r="U335" i="2"/>
  <c r="M336" i="2"/>
  <c r="P336" i="2"/>
  <c r="Q336" i="2"/>
  <c r="T336" i="2"/>
  <c r="U336" i="2"/>
  <c r="M337" i="2"/>
  <c r="P337" i="2"/>
  <c r="Q337" i="2"/>
  <c r="T337" i="2"/>
  <c r="U337" i="2"/>
  <c r="M338" i="2"/>
  <c r="P338" i="2"/>
  <c r="Q338" i="2"/>
  <c r="T338" i="2"/>
  <c r="U338" i="2"/>
  <c r="M339" i="2"/>
  <c r="P339" i="2"/>
  <c r="Q339" i="2"/>
  <c r="T339" i="2"/>
  <c r="U339" i="2"/>
  <c r="M340" i="2"/>
  <c r="P340" i="2"/>
  <c r="Q340" i="2"/>
  <c r="T340" i="2"/>
  <c r="U340" i="2"/>
  <c r="M341" i="2"/>
  <c r="P341" i="2"/>
  <c r="Q341" i="2"/>
  <c r="T341" i="2"/>
  <c r="U341" i="2"/>
  <c r="M342" i="2"/>
  <c r="P342" i="2"/>
  <c r="Q342" i="2"/>
  <c r="T342" i="2"/>
  <c r="U342" i="2"/>
  <c r="M343" i="2"/>
  <c r="P343" i="2"/>
  <c r="Q343" i="2"/>
  <c r="T343" i="2"/>
  <c r="U343" i="2"/>
  <c r="M344" i="2"/>
  <c r="P344" i="2"/>
  <c r="Q344" i="2"/>
  <c r="T344" i="2"/>
  <c r="U344" i="2"/>
  <c r="M345" i="2"/>
  <c r="P345" i="2"/>
  <c r="Q345" i="2"/>
  <c r="T345" i="2"/>
  <c r="U345" i="2"/>
  <c r="M346" i="2"/>
  <c r="P346" i="2"/>
  <c r="Q346" i="2"/>
  <c r="T346" i="2"/>
  <c r="U346" i="2"/>
  <c r="M347" i="2"/>
  <c r="P347" i="2"/>
  <c r="Q347" i="2"/>
  <c r="T347" i="2"/>
  <c r="U347" i="2"/>
  <c r="M348" i="2"/>
  <c r="P348" i="2"/>
  <c r="Q348" i="2"/>
  <c r="T348" i="2"/>
  <c r="U348" i="2"/>
  <c r="M349" i="2"/>
  <c r="P349" i="2"/>
  <c r="Q349" i="2"/>
  <c r="T349" i="2"/>
  <c r="U349" i="2"/>
  <c r="M350" i="2"/>
  <c r="P350" i="2"/>
  <c r="Q350" i="2"/>
  <c r="T350" i="2"/>
  <c r="U350" i="2"/>
  <c r="M351" i="2"/>
  <c r="P351" i="2"/>
  <c r="Q351" i="2"/>
  <c r="T351" i="2"/>
  <c r="U351" i="2"/>
  <c r="M352" i="2"/>
  <c r="P352" i="2"/>
  <c r="Q352" i="2"/>
  <c r="T352" i="2"/>
  <c r="U352" i="2"/>
  <c r="M353" i="2"/>
  <c r="P353" i="2"/>
  <c r="Q353" i="2"/>
  <c r="T353" i="2"/>
  <c r="U353" i="2"/>
  <c r="M354" i="2"/>
  <c r="P354" i="2"/>
  <c r="Q354" i="2"/>
  <c r="T354" i="2"/>
  <c r="U354" i="2"/>
  <c r="M355" i="2"/>
  <c r="P355" i="2"/>
  <c r="Q355" i="2"/>
  <c r="T355" i="2"/>
  <c r="U355" i="2"/>
  <c r="M356" i="2"/>
  <c r="P356" i="2"/>
  <c r="Q356" i="2"/>
  <c r="T356" i="2"/>
  <c r="U356" i="2"/>
  <c r="M357" i="2"/>
  <c r="P357" i="2"/>
  <c r="Q357" i="2"/>
  <c r="T357" i="2"/>
  <c r="U357" i="2"/>
  <c r="M358" i="2"/>
  <c r="P358" i="2"/>
  <c r="Q358" i="2"/>
  <c r="T358" i="2"/>
  <c r="U358" i="2"/>
  <c r="M359" i="2"/>
  <c r="P359" i="2"/>
  <c r="Q359" i="2"/>
  <c r="T359" i="2"/>
  <c r="U359" i="2"/>
  <c r="M360" i="2"/>
  <c r="P360" i="2"/>
  <c r="Q360" i="2"/>
  <c r="T360" i="2"/>
  <c r="U360" i="2"/>
  <c r="M361" i="2"/>
  <c r="P361" i="2"/>
  <c r="Q361" i="2"/>
  <c r="T361" i="2"/>
  <c r="U361" i="2"/>
  <c r="M362" i="2"/>
  <c r="P362" i="2"/>
  <c r="Q362" i="2"/>
  <c r="T362" i="2"/>
  <c r="U362" i="2"/>
  <c r="M363" i="2"/>
  <c r="P363" i="2"/>
  <c r="Q363" i="2"/>
  <c r="T363" i="2"/>
  <c r="U363" i="2"/>
  <c r="M364" i="2"/>
  <c r="P364" i="2"/>
  <c r="Q364" i="2"/>
  <c r="T364" i="2"/>
  <c r="U364" i="2"/>
  <c r="M365" i="2"/>
  <c r="P365" i="2"/>
  <c r="Q365" i="2"/>
  <c r="T365" i="2"/>
  <c r="U365" i="2"/>
  <c r="M366" i="2"/>
  <c r="P366" i="2"/>
  <c r="Q366" i="2"/>
  <c r="T366" i="2"/>
  <c r="U366" i="2"/>
  <c r="M367" i="2"/>
  <c r="P367" i="2"/>
  <c r="Q367" i="2"/>
  <c r="T367" i="2"/>
  <c r="U367" i="2"/>
  <c r="M368" i="2"/>
  <c r="P368" i="2"/>
  <c r="Q368" i="2"/>
  <c r="T368" i="2"/>
  <c r="U368" i="2"/>
  <c r="M369" i="2"/>
  <c r="P369" i="2"/>
  <c r="Q369" i="2"/>
  <c r="T369" i="2"/>
  <c r="U369" i="2"/>
  <c r="M370" i="2"/>
  <c r="P370" i="2"/>
  <c r="Q370" i="2"/>
  <c r="T370" i="2"/>
  <c r="U370" i="2"/>
  <c r="M371" i="2"/>
  <c r="P371" i="2"/>
  <c r="Q371" i="2"/>
  <c r="T371" i="2"/>
  <c r="U371" i="2"/>
  <c r="M372" i="2"/>
  <c r="P372" i="2"/>
  <c r="Q372" i="2"/>
  <c r="T372" i="2"/>
  <c r="U372" i="2"/>
  <c r="M373" i="2"/>
  <c r="P373" i="2"/>
  <c r="Q373" i="2"/>
  <c r="T373" i="2"/>
  <c r="U373" i="2"/>
  <c r="M374" i="2"/>
  <c r="P374" i="2"/>
  <c r="Q374" i="2"/>
  <c r="T374" i="2"/>
  <c r="U374" i="2"/>
  <c r="M375" i="2"/>
  <c r="P375" i="2"/>
  <c r="Q375" i="2"/>
  <c r="T375" i="2"/>
  <c r="U375" i="2"/>
  <c r="M376" i="2"/>
  <c r="P376" i="2"/>
  <c r="Q376" i="2"/>
  <c r="T376" i="2"/>
  <c r="U376" i="2"/>
  <c r="M377" i="2"/>
  <c r="P377" i="2"/>
  <c r="Q377" i="2"/>
  <c r="T377" i="2"/>
  <c r="U377" i="2"/>
  <c r="M378" i="2"/>
  <c r="P378" i="2"/>
  <c r="Q378" i="2"/>
  <c r="T378" i="2"/>
  <c r="U378" i="2"/>
  <c r="M379" i="2"/>
  <c r="P379" i="2"/>
  <c r="Q379" i="2"/>
  <c r="T379" i="2"/>
  <c r="U379" i="2"/>
  <c r="M380" i="2"/>
  <c r="P380" i="2"/>
  <c r="Q380" i="2"/>
  <c r="T380" i="2"/>
  <c r="U380" i="2"/>
  <c r="M381" i="2"/>
  <c r="P381" i="2"/>
  <c r="Q381" i="2"/>
  <c r="T381" i="2"/>
  <c r="U381" i="2"/>
  <c r="M382" i="2"/>
  <c r="P382" i="2"/>
  <c r="Q382" i="2"/>
  <c r="T382" i="2"/>
  <c r="U382" i="2"/>
  <c r="M383" i="2"/>
  <c r="P383" i="2"/>
  <c r="Q383" i="2"/>
  <c r="T383" i="2"/>
  <c r="U383" i="2"/>
  <c r="M384" i="2"/>
  <c r="P384" i="2"/>
  <c r="Q384" i="2"/>
  <c r="T384" i="2"/>
  <c r="U384" i="2"/>
  <c r="M385" i="2"/>
  <c r="P385" i="2"/>
  <c r="Q385" i="2"/>
  <c r="T385" i="2"/>
  <c r="U385" i="2"/>
  <c r="M386" i="2"/>
  <c r="P386" i="2"/>
  <c r="Q386" i="2"/>
  <c r="T386" i="2"/>
  <c r="U386" i="2"/>
  <c r="M387" i="2"/>
  <c r="P387" i="2"/>
  <c r="Q387" i="2"/>
  <c r="T387" i="2"/>
  <c r="U387" i="2"/>
  <c r="M388" i="2"/>
  <c r="P388" i="2"/>
  <c r="Q388" i="2"/>
  <c r="T388" i="2"/>
  <c r="U388" i="2"/>
  <c r="M389" i="2"/>
  <c r="P389" i="2"/>
  <c r="Q389" i="2"/>
  <c r="T389" i="2"/>
  <c r="U389" i="2"/>
  <c r="M390" i="2"/>
  <c r="P390" i="2"/>
  <c r="Q390" i="2"/>
  <c r="T390" i="2"/>
  <c r="U390" i="2"/>
  <c r="M391" i="2"/>
  <c r="P391" i="2"/>
  <c r="Q391" i="2"/>
  <c r="T391" i="2"/>
  <c r="U391" i="2"/>
  <c r="M392" i="2"/>
  <c r="P392" i="2"/>
  <c r="Q392" i="2"/>
  <c r="T392" i="2"/>
  <c r="U392" i="2"/>
  <c r="M393" i="2"/>
  <c r="P393" i="2"/>
  <c r="Q393" i="2"/>
  <c r="T393" i="2"/>
  <c r="U393" i="2"/>
  <c r="M394" i="2"/>
  <c r="P394" i="2"/>
  <c r="Q394" i="2"/>
  <c r="T394" i="2"/>
  <c r="U394" i="2"/>
  <c r="M395" i="2"/>
  <c r="P395" i="2"/>
  <c r="Q395" i="2"/>
  <c r="T395" i="2"/>
  <c r="U395" i="2"/>
  <c r="M396" i="2"/>
  <c r="P396" i="2"/>
  <c r="Q396" i="2"/>
  <c r="T396" i="2"/>
  <c r="U396" i="2"/>
  <c r="M397" i="2"/>
  <c r="P397" i="2"/>
  <c r="Q397" i="2"/>
  <c r="T397" i="2"/>
  <c r="U397" i="2"/>
  <c r="M398" i="2"/>
  <c r="P398" i="2"/>
  <c r="Q398" i="2"/>
  <c r="T398" i="2"/>
  <c r="U398" i="2"/>
  <c r="M399" i="2"/>
  <c r="P399" i="2"/>
  <c r="Q399" i="2"/>
  <c r="T399" i="2"/>
  <c r="U399" i="2"/>
  <c r="M400" i="2"/>
  <c r="P400" i="2"/>
  <c r="Q400" i="2"/>
  <c r="T400" i="2"/>
  <c r="U400" i="2"/>
  <c r="M401" i="2"/>
  <c r="P401" i="2"/>
  <c r="Q401" i="2"/>
  <c r="T401" i="2"/>
  <c r="U401" i="2"/>
  <c r="M402" i="2"/>
  <c r="P402" i="2"/>
  <c r="Q402" i="2"/>
  <c r="T402" i="2"/>
  <c r="U402" i="2"/>
  <c r="M403" i="2"/>
  <c r="P403" i="2"/>
  <c r="Q403" i="2"/>
  <c r="T403" i="2"/>
  <c r="U403" i="2"/>
  <c r="M404" i="2"/>
  <c r="P404" i="2"/>
  <c r="Q404" i="2"/>
  <c r="T404" i="2"/>
  <c r="U404" i="2"/>
  <c r="M405" i="2"/>
  <c r="P405" i="2"/>
  <c r="Q405" i="2"/>
  <c r="T405" i="2"/>
  <c r="U405" i="2"/>
  <c r="M406" i="2"/>
  <c r="P406" i="2"/>
  <c r="Q406" i="2"/>
  <c r="T406" i="2"/>
  <c r="U406" i="2"/>
  <c r="M407" i="2"/>
  <c r="P407" i="2"/>
  <c r="Q407" i="2"/>
  <c r="T407" i="2"/>
  <c r="U407" i="2"/>
  <c r="M408" i="2"/>
  <c r="P408" i="2"/>
  <c r="Q408" i="2"/>
  <c r="T408" i="2"/>
  <c r="U408" i="2"/>
  <c r="M409" i="2"/>
  <c r="P409" i="2"/>
  <c r="Q409" i="2"/>
  <c r="T409" i="2"/>
  <c r="U409" i="2"/>
  <c r="M410" i="2"/>
  <c r="P410" i="2"/>
  <c r="Q410" i="2"/>
  <c r="T410" i="2"/>
  <c r="U410" i="2"/>
  <c r="M411" i="2"/>
  <c r="P411" i="2"/>
  <c r="Q411" i="2"/>
  <c r="T411" i="2"/>
  <c r="U411" i="2"/>
  <c r="M412" i="2"/>
  <c r="P412" i="2"/>
  <c r="Q412" i="2"/>
  <c r="T412" i="2"/>
  <c r="U412" i="2"/>
  <c r="M413" i="2"/>
  <c r="P413" i="2"/>
  <c r="Q413" i="2"/>
  <c r="T413" i="2"/>
  <c r="U413" i="2"/>
  <c r="M414" i="2"/>
  <c r="P414" i="2"/>
  <c r="Q414" i="2"/>
  <c r="T414" i="2"/>
  <c r="U414" i="2"/>
  <c r="M415" i="2"/>
  <c r="P415" i="2"/>
  <c r="Q415" i="2"/>
  <c r="T415" i="2"/>
  <c r="U415" i="2"/>
  <c r="M416" i="2"/>
  <c r="P416" i="2"/>
  <c r="Q416" i="2"/>
  <c r="T416" i="2"/>
  <c r="U416" i="2"/>
  <c r="M417" i="2"/>
  <c r="P417" i="2"/>
  <c r="Q417" i="2"/>
  <c r="T417" i="2"/>
  <c r="U417" i="2"/>
  <c r="M418" i="2"/>
  <c r="P418" i="2"/>
  <c r="Q418" i="2"/>
  <c r="T418" i="2"/>
  <c r="U418" i="2"/>
  <c r="M419" i="2"/>
  <c r="P419" i="2"/>
  <c r="Q419" i="2"/>
  <c r="T419" i="2"/>
  <c r="U419" i="2"/>
  <c r="M420" i="2"/>
  <c r="P420" i="2"/>
  <c r="Q420" i="2"/>
  <c r="T420" i="2"/>
  <c r="U420" i="2"/>
  <c r="M421" i="2"/>
  <c r="P421" i="2"/>
  <c r="Q421" i="2"/>
  <c r="T421" i="2"/>
  <c r="U421" i="2"/>
  <c r="M422" i="2"/>
  <c r="P422" i="2"/>
  <c r="Q422" i="2"/>
  <c r="T422" i="2"/>
  <c r="U422" i="2"/>
  <c r="M423" i="2"/>
  <c r="P423" i="2"/>
  <c r="Q423" i="2"/>
  <c r="T423" i="2"/>
  <c r="U423" i="2"/>
  <c r="M424" i="2"/>
  <c r="P424" i="2"/>
  <c r="Q424" i="2"/>
  <c r="T424" i="2"/>
  <c r="U424" i="2"/>
  <c r="K28" i="2"/>
  <c r="O19" i="2" a="1"/>
  <c r="O19" i="2"/>
  <c r="P19" i="2"/>
  <c r="Q60" i="2"/>
  <c r="T60" i="2"/>
  <c r="U60" i="2"/>
  <c r="Q96" i="2"/>
  <c r="T96" i="2"/>
  <c r="U96" i="2"/>
  <c r="O11" i="2" a="1"/>
  <c r="O11" i="2"/>
  <c r="P11" i="2"/>
  <c r="O10" i="2" a="1"/>
  <c r="O10" i="2"/>
  <c r="P10" i="2"/>
  <c r="O8" i="2" a="1"/>
  <c r="O8" i="2"/>
  <c r="P8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37" i="2"/>
  <c r="S38" i="2"/>
  <c r="S39" i="2"/>
  <c r="S40" i="2"/>
  <c r="S41" i="2"/>
  <c r="S42" i="2"/>
  <c r="S43" i="2"/>
  <c r="S44" i="2"/>
  <c r="S124" i="2"/>
  <c r="S78" i="2"/>
  <c r="S60" i="2"/>
  <c r="S96" i="2"/>
  <c r="O20" i="2" a="1"/>
  <c r="O20" i="2"/>
  <c r="P20" i="2"/>
  <c r="V37" i="2" a="1"/>
  <c r="V37" i="2"/>
  <c r="W37" i="2"/>
  <c r="V38" i="2" a="1"/>
  <c r="V38" i="2"/>
  <c r="V39" i="2" a="1"/>
  <c r="V39" i="2"/>
  <c r="V40" i="2" a="1"/>
  <c r="V40" i="2"/>
  <c r="V41" i="2" a="1"/>
  <c r="V41" i="2"/>
  <c r="V42" i="2" a="1"/>
  <c r="V42" i="2"/>
  <c r="V43" i="2" a="1"/>
  <c r="V43" i="2"/>
  <c r="V44" i="2" a="1"/>
  <c r="V44" i="2"/>
  <c r="V45" i="2" a="1"/>
  <c r="V45" i="2"/>
  <c r="V46" i="2" a="1"/>
  <c r="V46" i="2"/>
  <c r="V47" i="2" a="1"/>
  <c r="V47" i="2"/>
  <c r="V48" i="2" a="1"/>
  <c r="V48" i="2"/>
  <c r="V49" i="2" a="1"/>
  <c r="V49" i="2"/>
  <c r="V50" i="2" a="1"/>
  <c r="V50" i="2"/>
  <c r="V51" i="2" a="1"/>
  <c r="V51" i="2"/>
  <c r="V52" i="2" a="1"/>
  <c r="V52" i="2"/>
  <c r="V53" i="2" a="1"/>
  <c r="V53" i="2"/>
  <c r="V54" i="2" a="1"/>
  <c r="V54" i="2"/>
  <c r="V55" i="2" a="1"/>
  <c r="V55" i="2"/>
  <c r="V56" i="2" a="1"/>
  <c r="V56" i="2"/>
  <c r="V57" i="2" a="1"/>
  <c r="V57" i="2"/>
  <c r="V58" i="2" a="1"/>
  <c r="V58" i="2"/>
  <c r="V59" i="2" a="1"/>
  <c r="V59" i="2"/>
  <c r="V60" i="2" a="1"/>
  <c r="V60" i="2"/>
  <c r="V61" i="2" a="1"/>
  <c r="V61" i="2"/>
  <c r="V62" i="2" a="1"/>
  <c r="V62" i="2"/>
  <c r="V63" i="2" a="1"/>
  <c r="V63" i="2"/>
  <c r="V64" i="2" a="1"/>
  <c r="V64" i="2"/>
  <c r="V65" i="2" a="1"/>
  <c r="V65" i="2"/>
  <c r="V66" i="2" a="1"/>
  <c r="V66" i="2"/>
  <c r="V67" i="2" a="1"/>
  <c r="V67" i="2"/>
  <c r="V68" i="2" a="1"/>
  <c r="V68" i="2"/>
  <c r="V69" i="2" a="1"/>
  <c r="V69" i="2"/>
  <c r="V70" i="2" a="1"/>
  <c r="V70" i="2"/>
  <c r="V71" i="2" a="1"/>
  <c r="V71" i="2"/>
  <c r="V72" i="2" a="1"/>
  <c r="V72" i="2"/>
  <c r="V73" i="2" a="1"/>
  <c r="V73" i="2"/>
  <c r="V74" i="2" a="1"/>
  <c r="V74" i="2"/>
  <c r="V75" i="2" a="1"/>
  <c r="V75" i="2"/>
  <c r="V76" i="2" a="1"/>
  <c r="V76" i="2"/>
  <c r="V77" i="2" a="1"/>
  <c r="V77" i="2"/>
  <c r="V78" i="2" a="1"/>
  <c r="V78" i="2"/>
  <c r="V79" i="2" a="1"/>
  <c r="V79" i="2"/>
  <c r="V80" i="2" a="1"/>
  <c r="V80" i="2"/>
  <c r="V81" i="2" a="1"/>
  <c r="V81" i="2"/>
  <c r="V82" i="2" a="1"/>
  <c r="V82" i="2"/>
  <c r="V83" i="2" a="1"/>
  <c r="V83" i="2"/>
  <c r="V84" i="2" a="1"/>
  <c r="V84" i="2"/>
  <c r="V85" i="2" a="1"/>
  <c r="V85" i="2"/>
  <c r="V86" i="2" a="1"/>
  <c r="V86" i="2"/>
  <c r="V87" i="2" a="1"/>
  <c r="V87" i="2"/>
  <c r="V88" i="2" a="1"/>
  <c r="V88" i="2"/>
  <c r="V89" i="2" a="1"/>
  <c r="V89" i="2"/>
  <c r="V90" i="2" a="1"/>
  <c r="V90" i="2"/>
  <c r="V91" i="2" a="1"/>
  <c r="V91" i="2"/>
  <c r="V92" i="2" a="1"/>
  <c r="V92" i="2"/>
  <c r="V93" i="2" a="1"/>
  <c r="V93" i="2"/>
  <c r="V94" i="2" a="1"/>
  <c r="V94" i="2"/>
  <c r="V95" i="2" a="1"/>
  <c r="V95" i="2"/>
  <c r="V96" i="2" a="1"/>
  <c r="V96" i="2"/>
  <c r="V97" i="2" a="1"/>
  <c r="V97" i="2"/>
  <c r="V98" i="2" a="1"/>
  <c r="V98" i="2"/>
  <c r="V99" i="2" a="1"/>
  <c r="V99" i="2"/>
  <c r="V100" i="2" a="1"/>
  <c r="V100" i="2"/>
  <c r="V101" i="2" a="1"/>
  <c r="V101" i="2"/>
  <c r="V102" i="2" a="1"/>
  <c r="V102" i="2"/>
  <c r="V103" i="2" a="1"/>
  <c r="V103" i="2"/>
  <c r="V104" i="2" a="1"/>
  <c r="V104" i="2"/>
  <c r="V105" i="2" a="1"/>
  <c r="V105" i="2"/>
  <c r="V106" i="2" a="1"/>
  <c r="V106" i="2"/>
  <c r="V107" i="2" a="1"/>
  <c r="V107" i="2"/>
  <c r="V108" i="2" a="1"/>
  <c r="V108" i="2"/>
  <c r="V109" i="2" a="1"/>
  <c r="V109" i="2"/>
  <c r="V110" i="2" a="1"/>
  <c r="V110" i="2"/>
  <c r="V111" i="2" a="1"/>
  <c r="V111" i="2"/>
  <c r="V112" i="2" a="1"/>
  <c r="V112" i="2"/>
  <c r="V113" i="2" a="1"/>
  <c r="V113" i="2"/>
  <c r="V114" i="2" a="1"/>
  <c r="V114" i="2"/>
  <c r="V115" i="2" a="1"/>
  <c r="V115" i="2"/>
  <c r="V116" i="2" a="1"/>
  <c r="V116" i="2"/>
  <c r="V117" i="2" a="1"/>
  <c r="V117" i="2"/>
  <c r="V118" i="2" a="1"/>
  <c r="V118" i="2"/>
  <c r="V119" i="2" a="1"/>
  <c r="V119" i="2"/>
  <c r="V120" i="2" a="1"/>
  <c r="V120" i="2"/>
  <c r="V121" i="2" a="1"/>
  <c r="V121" i="2"/>
  <c r="V122" i="2" a="1"/>
  <c r="V122" i="2"/>
  <c r="V123" i="2" a="1"/>
  <c r="V123" i="2"/>
  <c r="V124" i="2" a="1"/>
  <c r="V124" i="2"/>
  <c r="V125" i="2" a="1"/>
  <c r="V125" i="2"/>
  <c r="V126" i="2" a="1"/>
  <c r="V126" i="2"/>
  <c r="V127" i="2" a="1"/>
  <c r="V127" i="2"/>
  <c r="V128" i="2" a="1"/>
  <c r="V128" i="2"/>
  <c r="V129" i="2" a="1"/>
  <c r="V129" i="2"/>
  <c r="V130" i="2" a="1"/>
  <c r="V130" i="2"/>
  <c r="V131" i="2" a="1"/>
  <c r="V131" i="2"/>
  <c r="V132" i="2" a="1"/>
  <c r="V132" i="2"/>
  <c r="V133" i="2" a="1"/>
  <c r="V133" i="2"/>
  <c r="V134" i="2" a="1"/>
  <c r="V134" i="2"/>
  <c r="V135" i="2" a="1"/>
  <c r="V135" i="2"/>
  <c r="V136" i="2" a="1"/>
  <c r="V136" i="2"/>
  <c r="V137" i="2" a="1"/>
  <c r="V137" i="2"/>
  <c r="V138" i="2" a="1"/>
  <c r="V138" i="2"/>
  <c r="V139" i="2" a="1"/>
  <c r="V139" i="2"/>
  <c r="V140" i="2" a="1"/>
  <c r="V140" i="2"/>
  <c r="V141" i="2" a="1"/>
  <c r="V141" i="2"/>
  <c r="V142" i="2" a="1"/>
  <c r="V142" i="2"/>
  <c r="V143" i="2" a="1"/>
  <c r="V143" i="2"/>
  <c r="V144" i="2" a="1"/>
  <c r="V144" i="2"/>
  <c r="V145" i="2" a="1"/>
  <c r="V145" i="2"/>
  <c r="V146" i="2" a="1"/>
  <c r="V146" i="2"/>
  <c r="V147" i="2" a="1"/>
  <c r="V147" i="2"/>
  <c r="V148" i="2" a="1"/>
  <c r="V148" i="2"/>
  <c r="V149" i="2" a="1"/>
  <c r="V149" i="2"/>
  <c r="V150" i="2" a="1"/>
  <c r="V150" i="2"/>
  <c r="V151" i="2" a="1"/>
  <c r="V151" i="2"/>
  <c r="V152" i="2" a="1"/>
  <c r="V152" i="2"/>
  <c r="V153" i="2" a="1"/>
  <c r="V153" i="2"/>
  <c r="V154" i="2" a="1"/>
  <c r="V154" i="2"/>
  <c r="V155" i="2" a="1"/>
  <c r="V155" i="2"/>
  <c r="V156" i="2" a="1"/>
  <c r="V156" i="2"/>
  <c r="V157" i="2" a="1"/>
  <c r="V157" i="2"/>
  <c r="V158" i="2" a="1"/>
  <c r="V158" i="2"/>
  <c r="V159" i="2" a="1"/>
  <c r="V159" i="2"/>
  <c r="V160" i="2" a="1"/>
  <c r="V160" i="2"/>
  <c r="V161" i="2" a="1"/>
  <c r="V161" i="2"/>
  <c r="V162" i="2" a="1"/>
  <c r="V162" i="2"/>
  <c r="V163" i="2" a="1"/>
  <c r="V163" i="2"/>
  <c r="V164" i="2" a="1"/>
  <c r="V164" i="2"/>
  <c r="V165" i="2" a="1"/>
  <c r="V165" i="2"/>
  <c r="V166" i="2" a="1"/>
  <c r="V166" i="2"/>
  <c r="V167" i="2" a="1"/>
  <c r="V167" i="2"/>
  <c r="V168" i="2" a="1"/>
  <c r="V168" i="2"/>
  <c r="V169" i="2" a="1"/>
  <c r="V169" i="2"/>
  <c r="V170" i="2" a="1"/>
  <c r="V170" i="2"/>
  <c r="V171" i="2" a="1"/>
  <c r="V171" i="2"/>
  <c r="V172" i="2" a="1"/>
  <c r="V172" i="2"/>
  <c r="V173" i="2" a="1"/>
  <c r="V173" i="2"/>
  <c r="V174" i="2" a="1"/>
  <c r="V174" i="2"/>
  <c r="V175" i="2" a="1"/>
  <c r="V175" i="2"/>
  <c r="V176" i="2" a="1"/>
  <c r="V176" i="2"/>
  <c r="V177" i="2" a="1"/>
  <c r="V177" i="2"/>
  <c r="V178" i="2" a="1"/>
  <c r="V178" i="2"/>
  <c r="V179" i="2" a="1"/>
  <c r="V179" i="2"/>
  <c r="V180" i="2" a="1"/>
  <c r="V180" i="2"/>
  <c r="V181" i="2" a="1"/>
  <c r="V181" i="2"/>
  <c r="V182" i="2" a="1"/>
  <c r="V182" i="2"/>
  <c r="V183" i="2" a="1"/>
  <c r="V183" i="2"/>
  <c r="V184" i="2" a="1"/>
  <c r="V184" i="2"/>
  <c r="V185" i="2" a="1"/>
  <c r="V185" i="2"/>
  <c r="V186" i="2" a="1"/>
  <c r="V186" i="2"/>
  <c r="V187" i="2" a="1"/>
  <c r="V187" i="2"/>
  <c r="V188" i="2" a="1"/>
  <c r="V188" i="2"/>
  <c r="V189" i="2" a="1"/>
  <c r="V189" i="2"/>
  <c r="V190" i="2" a="1"/>
  <c r="V190" i="2"/>
  <c r="V191" i="2" a="1"/>
  <c r="V191" i="2"/>
  <c r="V192" i="2" a="1"/>
  <c r="V192" i="2"/>
  <c r="V193" i="2" a="1"/>
  <c r="V193" i="2"/>
  <c r="V194" i="2" a="1"/>
  <c r="V194" i="2"/>
  <c r="V195" i="2" a="1"/>
  <c r="V195" i="2"/>
  <c r="V196" i="2" a="1"/>
  <c r="V196" i="2"/>
  <c r="V197" i="2" a="1"/>
  <c r="V197" i="2"/>
  <c r="V198" i="2" a="1"/>
  <c r="V198" i="2"/>
  <c r="V199" i="2" a="1"/>
  <c r="V199" i="2"/>
  <c r="V200" i="2" a="1"/>
  <c r="V200" i="2"/>
  <c r="V201" i="2" a="1"/>
  <c r="V201" i="2"/>
  <c r="V202" i="2" a="1"/>
  <c r="V202" i="2"/>
  <c r="V203" i="2" a="1"/>
  <c r="V203" i="2"/>
  <c r="V204" i="2" a="1"/>
  <c r="V204" i="2"/>
  <c r="V205" i="2" a="1"/>
  <c r="V205" i="2"/>
  <c r="V206" i="2" a="1"/>
  <c r="V206" i="2"/>
  <c r="V207" i="2" a="1"/>
  <c r="V207" i="2"/>
  <c r="V208" i="2" a="1"/>
  <c r="V208" i="2"/>
  <c r="V209" i="2" a="1"/>
  <c r="V209" i="2"/>
  <c r="V210" i="2" a="1"/>
  <c r="V210" i="2"/>
  <c r="V211" i="2" a="1"/>
  <c r="V211" i="2"/>
  <c r="V212" i="2" a="1"/>
  <c r="V212" i="2"/>
  <c r="V213" i="2" a="1"/>
  <c r="V213" i="2"/>
  <c r="V214" i="2" a="1"/>
  <c r="V214" i="2"/>
  <c r="V215" i="2" a="1"/>
  <c r="V215" i="2"/>
  <c r="V216" i="2" a="1"/>
  <c r="V216" i="2"/>
  <c r="V217" i="2" a="1"/>
  <c r="V217" i="2"/>
  <c r="V218" i="2" a="1"/>
  <c r="V218" i="2"/>
  <c r="V219" i="2" a="1"/>
  <c r="V219" i="2"/>
  <c r="V220" i="2" a="1"/>
  <c r="V220" i="2"/>
  <c r="V221" i="2" a="1"/>
  <c r="V221" i="2"/>
  <c r="V222" i="2" a="1"/>
  <c r="V222" i="2"/>
  <c r="V223" i="2" a="1"/>
  <c r="V223" i="2"/>
  <c r="V224" i="2" a="1"/>
  <c r="V224" i="2"/>
  <c r="V225" i="2" a="1"/>
  <c r="V225" i="2"/>
  <c r="V226" i="2" a="1"/>
  <c r="V226" i="2"/>
  <c r="V227" i="2" a="1"/>
  <c r="V227" i="2"/>
  <c r="V228" i="2" a="1"/>
  <c r="V228" i="2"/>
  <c r="V229" i="2" a="1"/>
  <c r="V229" i="2"/>
  <c r="V230" i="2" a="1"/>
  <c r="V230" i="2"/>
  <c r="V231" i="2" a="1"/>
  <c r="V231" i="2"/>
  <c r="V232" i="2" a="1"/>
  <c r="V232" i="2"/>
  <c r="V233" i="2" a="1"/>
  <c r="V233" i="2"/>
  <c r="V234" i="2" a="1"/>
  <c r="V234" i="2"/>
  <c r="V235" i="2" a="1"/>
  <c r="V235" i="2"/>
  <c r="V236" i="2" a="1"/>
  <c r="V236" i="2"/>
  <c r="V237" i="2" a="1"/>
  <c r="V237" i="2"/>
  <c r="V238" i="2" a="1"/>
  <c r="V238" i="2"/>
  <c r="V239" i="2" a="1"/>
  <c r="V239" i="2"/>
  <c r="V240" i="2" a="1"/>
  <c r="V240" i="2"/>
  <c r="V241" i="2" a="1"/>
  <c r="V241" i="2"/>
  <c r="V242" i="2" a="1"/>
  <c r="V242" i="2"/>
  <c r="V243" i="2" a="1"/>
  <c r="V243" i="2"/>
  <c r="V244" i="2" a="1"/>
  <c r="V244" i="2"/>
  <c r="V245" i="2" a="1"/>
  <c r="V245" i="2"/>
  <c r="V246" i="2" a="1"/>
  <c r="V246" i="2"/>
  <c r="V247" i="2" a="1"/>
  <c r="V247" i="2"/>
  <c r="V248" i="2" a="1"/>
  <c r="V248" i="2"/>
  <c r="V249" i="2" a="1"/>
  <c r="V249" i="2"/>
  <c r="V250" i="2" a="1"/>
  <c r="V250" i="2"/>
  <c r="V251" i="2" a="1"/>
  <c r="V251" i="2"/>
  <c r="V252" i="2" a="1"/>
  <c r="V252" i="2"/>
  <c r="V253" i="2" a="1"/>
  <c r="V253" i="2"/>
  <c r="V254" i="2" a="1"/>
  <c r="V254" i="2"/>
  <c r="V255" i="2" a="1"/>
  <c r="V255" i="2"/>
  <c r="V256" i="2" a="1"/>
  <c r="V256" i="2"/>
  <c r="V257" i="2" a="1"/>
  <c r="V257" i="2"/>
  <c r="V258" i="2" a="1"/>
  <c r="V258" i="2"/>
  <c r="V259" i="2" a="1"/>
  <c r="V259" i="2"/>
  <c r="V260" i="2" a="1"/>
  <c r="V260" i="2"/>
  <c r="V261" i="2" a="1"/>
  <c r="V261" i="2"/>
  <c r="V262" i="2" a="1"/>
  <c r="V262" i="2"/>
  <c r="V263" i="2" a="1"/>
  <c r="V263" i="2"/>
  <c r="V264" i="2" a="1"/>
  <c r="V264" i="2"/>
  <c r="V265" i="2" a="1"/>
  <c r="V265" i="2"/>
  <c r="V266" i="2" a="1"/>
  <c r="V266" i="2"/>
  <c r="V267" i="2" a="1"/>
  <c r="V267" i="2"/>
  <c r="V268" i="2" a="1"/>
  <c r="V268" i="2"/>
  <c r="V269" i="2" a="1"/>
  <c r="V269" i="2"/>
  <c r="V270" i="2" a="1"/>
  <c r="V270" i="2"/>
  <c r="V271" i="2" a="1"/>
  <c r="V271" i="2"/>
  <c r="V272" i="2" a="1"/>
  <c r="V272" i="2"/>
  <c r="V273" i="2" a="1"/>
  <c r="V273" i="2"/>
  <c r="V274" i="2" a="1"/>
  <c r="V274" i="2"/>
  <c r="V275" i="2" a="1"/>
  <c r="V275" i="2"/>
  <c r="V276" i="2" a="1"/>
  <c r="V276" i="2"/>
  <c r="V277" i="2" a="1"/>
  <c r="V277" i="2"/>
  <c r="V278" i="2" a="1"/>
  <c r="V278" i="2"/>
  <c r="V279" i="2" a="1"/>
  <c r="V279" i="2"/>
  <c r="V280" i="2" a="1"/>
  <c r="V280" i="2"/>
  <c r="V281" i="2" a="1"/>
  <c r="V281" i="2"/>
  <c r="V282" i="2" a="1"/>
  <c r="V282" i="2"/>
  <c r="V283" i="2" a="1"/>
  <c r="V283" i="2"/>
  <c r="V284" i="2" a="1"/>
  <c r="V284" i="2"/>
  <c r="V285" i="2" a="1"/>
  <c r="V285" i="2"/>
  <c r="V286" i="2" a="1"/>
  <c r="V286" i="2"/>
  <c r="V287" i="2" a="1"/>
  <c r="V287" i="2"/>
  <c r="V288" i="2" a="1"/>
  <c r="V288" i="2"/>
  <c r="V289" i="2" a="1"/>
  <c r="V289" i="2"/>
  <c r="V290" i="2" a="1"/>
  <c r="V290" i="2"/>
  <c r="V291" i="2" a="1"/>
  <c r="V291" i="2"/>
  <c r="V292" i="2" a="1"/>
  <c r="V292" i="2"/>
  <c r="V293" i="2" a="1"/>
  <c r="V293" i="2"/>
  <c r="V294" i="2" a="1"/>
  <c r="V294" i="2"/>
  <c r="V295" i="2" a="1"/>
  <c r="V295" i="2"/>
  <c r="V296" i="2" a="1"/>
  <c r="V296" i="2"/>
  <c r="V297" i="2" a="1"/>
  <c r="V297" i="2"/>
  <c r="V298" i="2" a="1"/>
  <c r="V298" i="2"/>
  <c r="V299" i="2" a="1"/>
  <c r="V299" i="2"/>
  <c r="V300" i="2" a="1"/>
  <c r="V300" i="2"/>
  <c r="V301" i="2" a="1"/>
  <c r="V301" i="2"/>
  <c r="V302" i="2" a="1"/>
  <c r="V302" i="2"/>
  <c r="V303" i="2" a="1"/>
  <c r="V303" i="2"/>
  <c r="V304" i="2" a="1"/>
  <c r="V304" i="2"/>
  <c r="V305" i="2" a="1"/>
  <c r="V305" i="2"/>
  <c r="V306" i="2" a="1"/>
  <c r="V306" i="2"/>
  <c r="V307" i="2" a="1"/>
  <c r="V307" i="2"/>
  <c r="V308" i="2" a="1"/>
  <c r="V308" i="2"/>
  <c r="V309" i="2" a="1"/>
  <c r="V309" i="2"/>
  <c r="V310" i="2" a="1"/>
  <c r="V310" i="2"/>
  <c r="V311" i="2" a="1"/>
  <c r="V311" i="2"/>
  <c r="V312" i="2" a="1"/>
  <c r="V312" i="2"/>
  <c r="V313" i="2" a="1"/>
  <c r="V313" i="2"/>
  <c r="V314" i="2" a="1"/>
  <c r="V314" i="2"/>
  <c r="V315" i="2" a="1"/>
  <c r="V315" i="2"/>
  <c r="V316" i="2" a="1"/>
  <c r="V316" i="2"/>
  <c r="V317" i="2" a="1"/>
  <c r="V317" i="2"/>
  <c r="V318" i="2" a="1"/>
  <c r="V318" i="2"/>
  <c r="V319" i="2" a="1"/>
  <c r="V319" i="2"/>
  <c r="V320" i="2" a="1"/>
  <c r="V320" i="2"/>
  <c r="V321" i="2" a="1"/>
  <c r="V321" i="2"/>
  <c r="V322" i="2" a="1"/>
  <c r="V322" i="2"/>
  <c r="V323" i="2" a="1"/>
  <c r="V323" i="2"/>
  <c r="V324" i="2" a="1"/>
  <c r="V324" i="2"/>
  <c r="V325" i="2" a="1"/>
  <c r="V325" i="2"/>
  <c r="V326" i="2" a="1"/>
  <c r="V326" i="2"/>
  <c r="V327" i="2" a="1"/>
  <c r="V327" i="2"/>
  <c r="V328" i="2" a="1"/>
  <c r="V328" i="2"/>
  <c r="V329" i="2" a="1"/>
  <c r="V329" i="2"/>
  <c r="V330" i="2" a="1"/>
  <c r="V330" i="2"/>
  <c r="V331" i="2" a="1"/>
  <c r="V331" i="2"/>
  <c r="V332" i="2" a="1"/>
  <c r="V332" i="2"/>
  <c r="V333" i="2" a="1"/>
  <c r="V333" i="2"/>
  <c r="V334" i="2" a="1"/>
  <c r="V334" i="2"/>
  <c r="V335" i="2" a="1"/>
  <c r="V335" i="2"/>
  <c r="V336" i="2" a="1"/>
  <c r="V336" i="2"/>
  <c r="V337" i="2" a="1"/>
  <c r="V337" i="2"/>
  <c r="V338" i="2" a="1"/>
  <c r="V338" i="2"/>
  <c r="V339" i="2" a="1"/>
  <c r="V339" i="2"/>
  <c r="V340" i="2" a="1"/>
  <c r="V340" i="2"/>
  <c r="V341" i="2" a="1"/>
  <c r="V341" i="2"/>
  <c r="V342" i="2" a="1"/>
  <c r="V342" i="2"/>
  <c r="V343" i="2" a="1"/>
  <c r="V343" i="2"/>
  <c r="V344" i="2" a="1"/>
  <c r="V344" i="2"/>
  <c r="V345" i="2" a="1"/>
  <c r="V345" i="2"/>
  <c r="V346" i="2" a="1"/>
  <c r="V346" i="2"/>
  <c r="V347" i="2" a="1"/>
  <c r="V347" i="2"/>
  <c r="V348" i="2" a="1"/>
  <c r="V348" i="2"/>
  <c r="V349" i="2" a="1"/>
  <c r="V349" i="2"/>
  <c r="V350" i="2" a="1"/>
  <c r="V350" i="2"/>
  <c r="V351" i="2" a="1"/>
  <c r="V351" i="2"/>
  <c r="V352" i="2" a="1"/>
  <c r="V352" i="2"/>
  <c r="V353" i="2" a="1"/>
  <c r="V353" i="2"/>
  <c r="V354" i="2" a="1"/>
  <c r="V354" i="2"/>
  <c r="V355" i="2" a="1"/>
  <c r="V355" i="2"/>
  <c r="V356" i="2" a="1"/>
  <c r="V356" i="2"/>
  <c r="V357" i="2" a="1"/>
  <c r="V357" i="2"/>
  <c r="V358" i="2" a="1"/>
  <c r="V358" i="2"/>
  <c r="V359" i="2" a="1"/>
  <c r="V359" i="2"/>
  <c r="V360" i="2" a="1"/>
  <c r="V360" i="2"/>
  <c r="V361" i="2" a="1"/>
  <c r="V361" i="2"/>
  <c r="V362" i="2" a="1"/>
  <c r="V362" i="2"/>
  <c r="V363" i="2" a="1"/>
  <c r="V363" i="2"/>
  <c r="V364" i="2" a="1"/>
  <c r="V364" i="2"/>
  <c r="V365" i="2" a="1"/>
  <c r="V365" i="2"/>
  <c r="V366" i="2" a="1"/>
  <c r="V366" i="2"/>
  <c r="V367" i="2" a="1"/>
  <c r="V367" i="2"/>
  <c r="V368" i="2" a="1"/>
  <c r="V368" i="2"/>
  <c r="V369" i="2" a="1"/>
  <c r="V369" i="2"/>
  <c r="V370" i="2" a="1"/>
  <c r="V370" i="2"/>
  <c r="V371" i="2" a="1"/>
  <c r="V371" i="2"/>
  <c r="V372" i="2" a="1"/>
  <c r="V372" i="2"/>
  <c r="V373" i="2" a="1"/>
  <c r="V373" i="2"/>
  <c r="V374" i="2" a="1"/>
  <c r="V374" i="2"/>
  <c r="V375" i="2" a="1"/>
  <c r="V375" i="2"/>
  <c r="V376" i="2" a="1"/>
  <c r="V376" i="2"/>
  <c r="V377" i="2" a="1"/>
  <c r="V377" i="2"/>
  <c r="V378" i="2" a="1"/>
  <c r="V378" i="2"/>
  <c r="V379" i="2" a="1"/>
  <c r="V379" i="2"/>
  <c r="V380" i="2" a="1"/>
  <c r="V380" i="2"/>
  <c r="V381" i="2" a="1"/>
  <c r="V381" i="2"/>
  <c r="V382" i="2" a="1"/>
  <c r="V382" i="2"/>
  <c r="V383" i="2" a="1"/>
  <c r="V383" i="2"/>
  <c r="V384" i="2" a="1"/>
  <c r="V384" i="2"/>
  <c r="V385" i="2" a="1"/>
  <c r="V385" i="2"/>
  <c r="V386" i="2" a="1"/>
  <c r="V386" i="2"/>
  <c r="V387" i="2" a="1"/>
  <c r="V387" i="2"/>
  <c r="V388" i="2" a="1"/>
  <c r="V388" i="2"/>
  <c r="V389" i="2" a="1"/>
  <c r="V389" i="2"/>
  <c r="V390" i="2" a="1"/>
  <c r="V390" i="2"/>
  <c r="V391" i="2" a="1"/>
  <c r="V391" i="2"/>
  <c r="V392" i="2" a="1"/>
  <c r="V392" i="2"/>
  <c r="V393" i="2" a="1"/>
  <c r="V393" i="2"/>
  <c r="V394" i="2" a="1"/>
  <c r="V394" i="2"/>
  <c r="V395" i="2" a="1"/>
  <c r="V395" i="2"/>
  <c r="V396" i="2" a="1"/>
  <c r="V396" i="2"/>
  <c r="V397" i="2" a="1"/>
  <c r="V397" i="2"/>
  <c r="V398" i="2" a="1"/>
  <c r="V398" i="2"/>
  <c r="V399" i="2" a="1"/>
  <c r="V399" i="2"/>
  <c r="V400" i="2" a="1"/>
  <c r="V400" i="2"/>
  <c r="V401" i="2" a="1"/>
  <c r="V401" i="2"/>
  <c r="V402" i="2" a="1"/>
  <c r="V402" i="2"/>
  <c r="V403" i="2" a="1"/>
  <c r="V403" i="2"/>
  <c r="V404" i="2" a="1"/>
  <c r="V404" i="2"/>
  <c r="V405" i="2" a="1"/>
  <c r="V405" i="2"/>
  <c r="V406" i="2" a="1"/>
  <c r="V406" i="2"/>
  <c r="V407" i="2" a="1"/>
  <c r="V407" i="2"/>
  <c r="V408" i="2" a="1"/>
  <c r="V408" i="2"/>
  <c r="V409" i="2" a="1"/>
  <c r="V409" i="2"/>
  <c r="V410" i="2" a="1"/>
  <c r="V410" i="2"/>
  <c r="V411" i="2" a="1"/>
  <c r="V411" i="2"/>
  <c r="V412" i="2" a="1"/>
  <c r="V412" i="2"/>
  <c r="V413" i="2" a="1"/>
  <c r="V413" i="2"/>
  <c r="V414" i="2" a="1"/>
  <c r="V414" i="2"/>
  <c r="V415" i="2" a="1"/>
  <c r="V415" i="2"/>
  <c r="V416" i="2" a="1"/>
  <c r="V416" i="2"/>
  <c r="V417" i="2" a="1"/>
  <c r="V417" i="2"/>
  <c r="V418" i="2" a="1"/>
  <c r="V418" i="2"/>
  <c r="V419" i="2" a="1"/>
  <c r="V419" i="2"/>
  <c r="V420" i="2" a="1"/>
  <c r="V420" i="2"/>
  <c r="V421" i="2" a="1"/>
  <c r="V421" i="2"/>
  <c r="V422" i="2" a="1"/>
  <c r="V422" i="2"/>
  <c r="V423" i="2" a="1"/>
  <c r="V423" i="2"/>
  <c r="V424" i="2" a="1"/>
  <c r="V424" i="2"/>
  <c r="W424" i="2"/>
  <c r="W423" i="2"/>
  <c r="W422" i="2"/>
  <c r="W421" i="2"/>
  <c r="W420" i="2"/>
  <c r="W419" i="2"/>
  <c r="W418" i="2"/>
  <c r="W417" i="2"/>
  <c r="W416" i="2"/>
  <c r="W415" i="2"/>
  <c r="W414" i="2"/>
  <c r="W413" i="2"/>
  <c r="W412" i="2"/>
  <c r="W411" i="2"/>
  <c r="W410" i="2"/>
  <c r="W409" i="2"/>
  <c r="W408" i="2"/>
  <c r="W407" i="2"/>
  <c r="W406" i="2"/>
  <c r="W405" i="2"/>
  <c r="W404" i="2"/>
  <c r="W403" i="2"/>
  <c r="W402" i="2"/>
  <c r="W401" i="2"/>
  <c r="W400" i="2"/>
  <c r="W399" i="2"/>
  <c r="W398" i="2"/>
  <c r="W397" i="2"/>
  <c r="W395" i="2"/>
  <c r="W394" i="2"/>
  <c r="W393" i="2"/>
  <c r="W392" i="2"/>
  <c r="W391" i="2"/>
  <c r="W390" i="2"/>
  <c r="W389" i="2"/>
  <c r="W388" i="2"/>
  <c r="W387" i="2"/>
  <c r="W386" i="2"/>
  <c r="W385" i="2"/>
  <c r="W384" i="2"/>
  <c r="W383" i="2"/>
  <c r="W382" i="2"/>
  <c r="W381" i="2"/>
  <c r="W380" i="2"/>
  <c r="W379" i="2"/>
  <c r="W378" i="2"/>
  <c r="W377" i="2"/>
  <c r="W376" i="2"/>
  <c r="W375" i="2"/>
  <c r="W374" i="2"/>
  <c r="W373" i="2"/>
  <c r="W372" i="2"/>
  <c r="W371" i="2"/>
  <c r="W370" i="2"/>
  <c r="W369" i="2"/>
  <c r="W368" i="2"/>
  <c r="W367" i="2"/>
  <c r="W366" i="2"/>
  <c r="W365" i="2"/>
  <c r="W364" i="2"/>
  <c r="W363" i="2"/>
  <c r="W362" i="2"/>
  <c r="W361" i="2"/>
  <c r="W360" i="2"/>
  <c r="W359" i="2"/>
  <c r="W358" i="2"/>
  <c r="W357" i="2"/>
  <c r="W356" i="2"/>
  <c r="W355" i="2"/>
  <c r="W354" i="2"/>
  <c r="W353" i="2"/>
  <c r="W352" i="2"/>
  <c r="W351" i="2"/>
  <c r="W350" i="2"/>
  <c r="W349" i="2"/>
  <c r="W348" i="2"/>
  <c r="W347" i="2"/>
  <c r="W346" i="2"/>
  <c r="W345" i="2"/>
  <c r="W344" i="2"/>
  <c r="W343" i="2"/>
  <c r="W342" i="2"/>
  <c r="W341" i="2"/>
  <c r="W340" i="2"/>
  <c r="W339" i="2"/>
  <c r="W338" i="2"/>
  <c r="W337" i="2"/>
  <c r="W336" i="2"/>
  <c r="W335" i="2"/>
  <c r="W334" i="2"/>
  <c r="W333" i="2"/>
  <c r="W332" i="2"/>
  <c r="W331" i="2"/>
  <c r="W330" i="2"/>
  <c r="W329" i="2"/>
  <c r="W328" i="2"/>
  <c r="W327" i="2"/>
  <c r="W326" i="2"/>
  <c r="W325" i="2"/>
  <c r="W324" i="2"/>
  <c r="W323" i="2"/>
  <c r="W322" i="2"/>
  <c r="W321" i="2"/>
  <c r="W320" i="2"/>
  <c r="W319" i="2"/>
  <c r="W318" i="2"/>
  <c r="W317" i="2"/>
  <c r="W316" i="2"/>
  <c r="W315" i="2"/>
  <c r="W314" i="2"/>
  <c r="W313" i="2"/>
  <c r="W312" i="2"/>
  <c r="W311" i="2"/>
  <c r="W310" i="2"/>
  <c r="W309" i="2"/>
  <c r="W308" i="2"/>
  <c r="W307" i="2"/>
  <c r="W306" i="2"/>
  <c r="W305" i="2"/>
  <c r="W304" i="2"/>
  <c r="W303" i="2"/>
  <c r="W302" i="2"/>
  <c r="W301" i="2"/>
  <c r="W300" i="2"/>
  <c r="W299" i="2"/>
  <c r="W298" i="2"/>
  <c r="W297" i="2"/>
  <c r="W296" i="2"/>
  <c r="W295" i="2"/>
  <c r="W294" i="2"/>
  <c r="W293" i="2"/>
  <c r="W292" i="2"/>
  <c r="W291" i="2"/>
  <c r="W290" i="2"/>
  <c r="W289" i="2"/>
  <c r="W288" i="2"/>
  <c r="W287" i="2"/>
  <c r="W286" i="2"/>
  <c r="W285" i="2"/>
  <c r="W284" i="2"/>
  <c r="W283" i="2"/>
  <c r="W282" i="2"/>
  <c r="W281" i="2"/>
  <c r="W280" i="2"/>
  <c r="W279" i="2"/>
  <c r="W278" i="2"/>
  <c r="W277" i="2"/>
  <c r="W276" i="2"/>
  <c r="W275" i="2"/>
  <c r="W274" i="2"/>
  <c r="W273" i="2"/>
  <c r="W272" i="2"/>
  <c r="W271" i="2"/>
  <c r="W270" i="2"/>
  <c r="W269" i="2"/>
  <c r="W268" i="2"/>
  <c r="W267" i="2"/>
  <c r="W266" i="2"/>
  <c r="W265" i="2"/>
  <c r="W264" i="2"/>
  <c r="W263" i="2"/>
  <c r="W262" i="2"/>
  <c r="W261" i="2"/>
  <c r="W260" i="2"/>
  <c r="W259" i="2"/>
  <c r="W258" i="2"/>
  <c r="W257" i="2"/>
  <c r="W256" i="2"/>
  <c r="W255" i="2"/>
  <c r="W254" i="2"/>
  <c r="W253" i="2"/>
  <c r="W252" i="2"/>
  <c r="W251" i="2"/>
  <c r="W250" i="2"/>
  <c r="W249" i="2"/>
  <c r="W248" i="2"/>
  <c r="W247" i="2"/>
  <c r="W246" i="2"/>
  <c r="W245" i="2"/>
  <c r="W244" i="2"/>
  <c r="W243" i="2"/>
  <c r="W242" i="2"/>
  <c r="W241" i="2"/>
  <c r="W240" i="2"/>
  <c r="W239" i="2"/>
  <c r="W238" i="2"/>
  <c r="W237" i="2"/>
  <c r="W236" i="2"/>
  <c r="W235" i="2"/>
  <c r="W234" i="2"/>
  <c r="W233" i="2"/>
  <c r="W232" i="2"/>
  <c r="W231" i="2"/>
  <c r="W230" i="2"/>
  <c r="W229" i="2"/>
  <c r="W228" i="2"/>
  <c r="W227" i="2"/>
  <c r="W226" i="2"/>
  <c r="W225" i="2"/>
  <c r="W224" i="2"/>
  <c r="W223" i="2"/>
  <c r="W222" i="2"/>
  <c r="W221" i="2"/>
  <c r="W220" i="2"/>
  <c r="W219" i="2"/>
  <c r="W218" i="2"/>
  <c r="W217" i="2"/>
  <c r="W216" i="2"/>
  <c r="W215" i="2"/>
  <c r="W214" i="2"/>
  <c r="W213" i="2"/>
  <c r="W212" i="2"/>
  <c r="W211" i="2"/>
  <c r="W210" i="2"/>
  <c r="W209" i="2"/>
  <c r="W208" i="2"/>
  <c r="W207" i="2"/>
  <c r="W206" i="2"/>
  <c r="W205" i="2"/>
  <c r="W204" i="2"/>
  <c r="W203" i="2"/>
  <c r="W202" i="2"/>
  <c r="W201" i="2"/>
  <c r="W200" i="2"/>
  <c r="W199" i="2"/>
  <c r="W198" i="2"/>
  <c r="W197" i="2"/>
  <c r="W196" i="2"/>
  <c r="W195" i="2"/>
  <c r="W194" i="2"/>
  <c r="W193" i="2"/>
  <c r="W192" i="2"/>
  <c r="W191" i="2"/>
  <c r="W190" i="2"/>
  <c r="W189" i="2"/>
  <c r="W188" i="2"/>
  <c r="W187" i="2"/>
  <c r="W186" i="2"/>
  <c r="W185" i="2"/>
  <c r="W184" i="2"/>
  <c r="W183" i="2"/>
  <c r="W182" i="2"/>
  <c r="W181" i="2"/>
  <c r="W180" i="2"/>
  <c r="W179" i="2"/>
  <c r="W178" i="2"/>
  <c r="W177" i="2"/>
  <c r="W176" i="2"/>
  <c r="W175" i="2"/>
  <c r="W174" i="2"/>
  <c r="W173" i="2"/>
  <c r="W172" i="2"/>
  <c r="W171" i="2"/>
  <c r="W170" i="2"/>
  <c r="W169" i="2"/>
  <c r="W168" i="2"/>
  <c r="W167" i="2"/>
  <c r="W166" i="2"/>
  <c r="W165" i="2"/>
  <c r="W164" i="2"/>
  <c r="W163" i="2"/>
  <c r="W162" i="2"/>
  <c r="W161" i="2"/>
  <c r="W160" i="2"/>
  <c r="W159" i="2"/>
  <c r="W158" i="2"/>
  <c r="W157" i="2"/>
  <c r="W156" i="2"/>
  <c r="W155" i="2"/>
  <c r="W154" i="2"/>
  <c r="W153" i="2"/>
  <c r="W152" i="2"/>
  <c r="W151" i="2"/>
  <c r="W150" i="2"/>
  <c r="W149" i="2"/>
  <c r="W148" i="2"/>
  <c r="W147" i="2"/>
  <c r="W146" i="2"/>
  <c r="W145" i="2"/>
  <c r="W144" i="2"/>
  <c r="W143" i="2"/>
  <c r="W142" i="2"/>
  <c r="W141" i="2"/>
  <c r="W140" i="2"/>
  <c r="W139" i="2"/>
  <c r="W138" i="2"/>
  <c r="W137" i="2"/>
  <c r="W136" i="2"/>
  <c r="W135" i="2"/>
  <c r="W134" i="2"/>
  <c r="W133" i="2"/>
  <c r="W132" i="2"/>
  <c r="W131" i="2"/>
  <c r="W130" i="2"/>
  <c r="W129" i="2"/>
  <c r="W128" i="2"/>
  <c r="W127" i="2"/>
  <c r="W126" i="2"/>
  <c r="W125" i="2"/>
  <c r="W123" i="2"/>
  <c r="W122" i="2"/>
  <c r="W121" i="2"/>
  <c r="W120" i="2"/>
  <c r="W119" i="2"/>
  <c r="W118" i="2"/>
  <c r="W117" i="2"/>
  <c r="W116" i="2"/>
  <c r="W115" i="2"/>
  <c r="W114" i="2"/>
  <c r="W113" i="2"/>
  <c r="W112" i="2"/>
  <c r="W111" i="2"/>
  <c r="W110" i="2"/>
  <c r="W109" i="2"/>
  <c r="W108" i="2"/>
  <c r="W107" i="2"/>
  <c r="W106" i="2"/>
  <c r="W105" i="2"/>
  <c r="W104" i="2"/>
  <c r="W103" i="2"/>
  <c r="W102" i="2"/>
  <c r="W101" i="2"/>
  <c r="W100" i="2"/>
  <c r="W99" i="2"/>
  <c r="W98" i="2"/>
  <c r="W97" i="2"/>
  <c r="W95" i="2"/>
  <c r="W94" i="2"/>
  <c r="W93" i="2"/>
  <c r="W91" i="2"/>
  <c r="W90" i="2"/>
  <c r="W89" i="2"/>
  <c r="W88" i="2"/>
  <c r="W87" i="2"/>
  <c r="W86" i="2"/>
  <c r="W85" i="2"/>
  <c r="W84" i="2"/>
  <c r="W83" i="2"/>
  <c r="W82" i="2"/>
  <c r="W81" i="2"/>
  <c r="W80" i="2"/>
  <c r="W77" i="2"/>
  <c r="W76" i="2"/>
  <c r="W75" i="2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59" i="2"/>
  <c r="W58" i="2"/>
  <c r="W57" i="2"/>
  <c r="W55" i="2"/>
  <c r="W54" i="2"/>
  <c r="W53" i="2"/>
  <c r="W52" i="2"/>
  <c r="W51" i="2"/>
  <c r="W50" i="2"/>
  <c r="W49" i="2"/>
  <c r="W47" i="2"/>
  <c r="W46" i="2"/>
  <c r="W45" i="2"/>
  <c r="W44" i="2"/>
  <c r="W43" i="2"/>
  <c r="W42" i="2"/>
  <c r="W41" i="2"/>
  <c r="W40" i="2"/>
  <c r="W39" i="2"/>
  <c r="W38" i="2"/>
  <c r="W96" i="2"/>
  <c r="O15" i="2" a="1"/>
  <c r="O15" i="2"/>
  <c r="W60" i="2"/>
  <c r="W396" i="2"/>
  <c r="W48" i="2"/>
  <c r="W79" i="2"/>
  <c r="W78" i="2"/>
  <c r="W124" i="2"/>
  <c r="W56" i="2"/>
  <c r="W92" i="2"/>
  <c r="O16" i="2" a="1"/>
  <c r="O16" i="2"/>
  <c r="O17" i="2" a="1"/>
  <c r="O17" i="2"/>
  <c r="O13" i="2"/>
  <c r="P13" i="2"/>
  <c r="R96" i="2"/>
  <c r="O21" i="2" a="1"/>
  <c r="O21" i="2"/>
  <c r="R37" i="2"/>
  <c r="R424" i="2"/>
  <c r="R423" i="2"/>
  <c r="R422" i="2"/>
  <c r="R421" i="2"/>
  <c r="R420" i="2"/>
  <c r="R419" i="2"/>
  <c r="R418" i="2"/>
  <c r="R417" i="2"/>
  <c r="R416" i="2"/>
  <c r="R415" i="2"/>
  <c r="R414" i="2"/>
  <c r="R413" i="2"/>
  <c r="R412" i="2"/>
  <c r="R411" i="2"/>
  <c r="R410" i="2"/>
  <c r="R409" i="2"/>
  <c r="R408" i="2"/>
  <c r="R407" i="2"/>
  <c r="R406" i="2"/>
  <c r="R405" i="2"/>
  <c r="R404" i="2"/>
  <c r="R403" i="2"/>
  <c r="R402" i="2"/>
  <c r="R401" i="2"/>
  <c r="R400" i="2"/>
  <c r="R399" i="2"/>
  <c r="R398" i="2"/>
  <c r="R397" i="2"/>
  <c r="R396" i="2"/>
  <c r="R395" i="2"/>
  <c r="R394" i="2"/>
  <c r="R393" i="2"/>
  <c r="R392" i="2"/>
  <c r="R391" i="2"/>
  <c r="R390" i="2"/>
  <c r="R389" i="2"/>
  <c r="R388" i="2"/>
  <c r="R387" i="2"/>
  <c r="R386" i="2"/>
  <c r="R385" i="2"/>
  <c r="R384" i="2"/>
  <c r="R383" i="2"/>
  <c r="R382" i="2"/>
  <c r="R381" i="2"/>
  <c r="R380" i="2"/>
  <c r="R379" i="2"/>
  <c r="R378" i="2"/>
  <c r="R377" i="2"/>
  <c r="R376" i="2"/>
  <c r="R375" i="2"/>
  <c r="R374" i="2"/>
  <c r="R373" i="2"/>
  <c r="R372" i="2"/>
  <c r="R371" i="2"/>
  <c r="R370" i="2"/>
  <c r="R369" i="2"/>
  <c r="R368" i="2"/>
  <c r="R367" i="2"/>
  <c r="R366" i="2"/>
  <c r="R365" i="2"/>
  <c r="R364" i="2"/>
  <c r="R363" i="2"/>
  <c r="R362" i="2"/>
  <c r="R361" i="2"/>
  <c r="R360" i="2"/>
  <c r="R359" i="2"/>
  <c r="R358" i="2"/>
  <c r="R357" i="2"/>
  <c r="R356" i="2"/>
  <c r="R355" i="2"/>
  <c r="R354" i="2"/>
  <c r="R353" i="2"/>
  <c r="R352" i="2"/>
  <c r="R351" i="2"/>
  <c r="R350" i="2"/>
  <c r="R349" i="2"/>
  <c r="R348" i="2"/>
  <c r="R347" i="2"/>
  <c r="R346" i="2"/>
  <c r="R345" i="2"/>
  <c r="R344" i="2"/>
  <c r="R343" i="2"/>
  <c r="R342" i="2"/>
  <c r="R341" i="2"/>
  <c r="R340" i="2"/>
  <c r="R339" i="2"/>
  <c r="R338" i="2"/>
  <c r="R337" i="2"/>
  <c r="R336" i="2"/>
  <c r="R335" i="2"/>
  <c r="R334" i="2"/>
  <c r="R333" i="2"/>
  <c r="R332" i="2"/>
  <c r="R331" i="2"/>
  <c r="R330" i="2"/>
  <c r="R329" i="2"/>
  <c r="R328" i="2"/>
  <c r="R327" i="2"/>
  <c r="R326" i="2"/>
  <c r="R325" i="2"/>
  <c r="R324" i="2"/>
  <c r="R323" i="2"/>
  <c r="R322" i="2"/>
  <c r="R321" i="2"/>
  <c r="R320" i="2"/>
  <c r="R319" i="2"/>
  <c r="R318" i="2"/>
  <c r="R317" i="2"/>
  <c r="R316" i="2"/>
  <c r="R315" i="2"/>
  <c r="R314" i="2"/>
  <c r="R313" i="2"/>
  <c r="R312" i="2"/>
  <c r="R311" i="2"/>
  <c r="R310" i="2"/>
  <c r="R309" i="2"/>
  <c r="R308" i="2"/>
  <c r="R307" i="2"/>
  <c r="R306" i="2"/>
  <c r="R305" i="2"/>
  <c r="R304" i="2"/>
  <c r="R303" i="2"/>
  <c r="R302" i="2"/>
  <c r="R301" i="2"/>
  <c r="R300" i="2"/>
  <c r="R299" i="2"/>
  <c r="R298" i="2"/>
  <c r="R297" i="2"/>
  <c r="R296" i="2"/>
  <c r="R295" i="2"/>
  <c r="R294" i="2"/>
  <c r="R293" i="2"/>
  <c r="R292" i="2"/>
  <c r="R291" i="2"/>
  <c r="R290" i="2"/>
  <c r="R289" i="2"/>
  <c r="R288" i="2"/>
  <c r="R287" i="2"/>
  <c r="R286" i="2"/>
  <c r="R285" i="2"/>
  <c r="R284" i="2"/>
  <c r="R283" i="2"/>
  <c r="R282" i="2"/>
  <c r="R281" i="2"/>
  <c r="R280" i="2"/>
  <c r="R279" i="2"/>
  <c r="R278" i="2"/>
  <c r="R277" i="2"/>
  <c r="R276" i="2"/>
  <c r="R275" i="2"/>
  <c r="R274" i="2"/>
  <c r="R273" i="2"/>
  <c r="R272" i="2"/>
  <c r="R271" i="2"/>
  <c r="R270" i="2"/>
  <c r="R269" i="2"/>
  <c r="R268" i="2"/>
  <c r="R267" i="2"/>
  <c r="R266" i="2"/>
  <c r="R265" i="2"/>
  <c r="R264" i="2"/>
  <c r="R263" i="2"/>
  <c r="R262" i="2"/>
  <c r="R261" i="2"/>
  <c r="R260" i="2"/>
  <c r="R259" i="2"/>
  <c r="R258" i="2"/>
  <c r="R257" i="2"/>
  <c r="R256" i="2"/>
  <c r="R255" i="2"/>
  <c r="R254" i="2"/>
  <c r="R253" i="2"/>
  <c r="R252" i="2"/>
  <c r="R251" i="2"/>
  <c r="R250" i="2"/>
  <c r="R249" i="2"/>
  <c r="R248" i="2"/>
  <c r="R247" i="2"/>
  <c r="R246" i="2"/>
  <c r="R245" i="2"/>
  <c r="R244" i="2"/>
  <c r="R243" i="2"/>
  <c r="R242" i="2"/>
  <c r="R241" i="2"/>
  <c r="R240" i="2"/>
  <c r="R239" i="2"/>
  <c r="R238" i="2"/>
  <c r="R237" i="2"/>
  <c r="R236" i="2"/>
  <c r="R235" i="2"/>
  <c r="R234" i="2"/>
  <c r="R233" i="2"/>
  <c r="R232" i="2"/>
  <c r="R231" i="2"/>
  <c r="R230" i="2"/>
  <c r="R229" i="2"/>
  <c r="R228" i="2"/>
  <c r="R227" i="2"/>
  <c r="R226" i="2"/>
  <c r="R225" i="2"/>
  <c r="R224" i="2"/>
  <c r="R223" i="2"/>
  <c r="R222" i="2"/>
  <c r="R221" i="2"/>
  <c r="R220" i="2"/>
  <c r="R219" i="2"/>
  <c r="R218" i="2"/>
  <c r="R217" i="2"/>
  <c r="R216" i="2"/>
  <c r="R215" i="2"/>
  <c r="R214" i="2"/>
  <c r="R213" i="2"/>
  <c r="R212" i="2"/>
  <c r="R211" i="2"/>
  <c r="R210" i="2"/>
  <c r="R209" i="2"/>
  <c r="R208" i="2"/>
  <c r="R207" i="2"/>
  <c r="R206" i="2"/>
  <c r="R205" i="2"/>
  <c r="R204" i="2"/>
  <c r="R203" i="2"/>
  <c r="R202" i="2"/>
  <c r="R201" i="2"/>
  <c r="R200" i="2"/>
  <c r="R199" i="2"/>
  <c r="R198" i="2"/>
  <c r="R197" i="2"/>
  <c r="R196" i="2"/>
  <c r="R195" i="2"/>
  <c r="R194" i="2"/>
  <c r="R193" i="2"/>
  <c r="R192" i="2"/>
  <c r="R191" i="2"/>
  <c r="R190" i="2"/>
  <c r="R189" i="2"/>
  <c r="R188" i="2"/>
  <c r="R187" i="2"/>
  <c r="R186" i="2"/>
  <c r="R185" i="2"/>
  <c r="R184" i="2"/>
  <c r="R183" i="2"/>
  <c r="R182" i="2"/>
  <c r="R181" i="2"/>
  <c r="R180" i="2"/>
  <c r="R179" i="2"/>
  <c r="R178" i="2"/>
  <c r="R177" i="2"/>
  <c r="R176" i="2"/>
  <c r="R175" i="2"/>
  <c r="R174" i="2"/>
  <c r="R173" i="2"/>
  <c r="R172" i="2"/>
  <c r="R171" i="2"/>
  <c r="R170" i="2"/>
  <c r="R169" i="2"/>
  <c r="R168" i="2"/>
  <c r="R167" i="2"/>
  <c r="R166" i="2"/>
  <c r="R165" i="2"/>
  <c r="R164" i="2"/>
  <c r="R163" i="2"/>
  <c r="R162" i="2"/>
  <c r="R161" i="2"/>
  <c r="R160" i="2"/>
  <c r="R159" i="2"/>
  <c r="R158" i="2"/>
  <c r="R157" i="2"/>
  <c r="R156" i="2"/>
  <c r="R155" i="2"/>
  <c r="R154" i="2"/>
  <c r="R153" i="2"/>
  <c r="R152" i="2"/>
  <c r="R151" i="2"/>
  <c r="R150" i="2"/>
  <c r="R149" i="2"/>
  <c r="R148" i="2"/>
  <c r="R147" i="2"/>
  <c r="R146" i="2"/>
  <c r="R145" i="2"/>
  <c r="R144" i="2"/>
  <c r="R143" i="2"/>
  <c r="R142" i="2"/>
  <c r="R141" i="2"/>
  <c r="R140" i="2"/>
  <c r="R139" i="2"/>
  <c r="R138" i="2"/>
  <c r="R137" i="2"/>
  <c r="R136" i="2"/>
  <c r="R135" i="2"/>
  <c r="R134" i="2"/>
  <c r="R133" i="2"/>
  <c r="R132" i="2"/>
  <c r="R131" i="2"/>
  <c r="R130" i="2"/>
  <c r="R129" i="2"/>
  <c r="R128" i="2"/>
  <c r="R127" i="2"/>
  <c r="R126" i="2"/>
  <c r="R125" i="2"/>
  <c r="R124" i="2"/>
  <c r="R123" i="2"/>
  <c r="R122" i="2"/>
  <c r="R121" i="2"/>
  <c r="R120" i="2"/>
  <c r="R119" i="2"/>
  <c r="R118" i="2"/>
  <c r="R117" i="2"/>
  <c r="R116" i="2"/>
  <c r="R115" i="2"/>
  <c r="R114" i="2"/>
  <c r="R113" i="2"/>
  <c r="R112" i="2"/>
  <c r="R111" i="2"/>
  <c r="R110" i="2"/>
  <c r="R109" i="2"/>
  <c r="R108" i="2"/>
  <c r="R107" i="2"/>
  <c r="R106" i="2"/>
  <c r="R105" i="2"/>
  <c r="R104" i="2"/>
  <c r="R103" i="2"/>
  <c r="R102" i="2"/>
  <c r="R101" i="2"/>
  <c r="R100" i="2"/>
  <c r="R99" i="2"/>
  <c r="R98" i="2"/>
  <c r="R97" i="2"/>
  <c r="R95" i="2"/>
  <c r="R94" i="2"/>
  <c r="R93" i="2"/>
  <c r="R92" i="2"/>
  <c r="R91" i="2"/>
  <c r="R90" i="2"/>
  <c r="R89" i="2"/>
  <c r="R88" i="2"/>
  <c r="R87" i="2"/>
  <c r="R86" i="2"/>
  <c r="R85" i="2"/>
  <c r="R84" i="2"/>
  <c r="R83" i="2"/>
  <c r="R82" i="2"/>
  <c r="R81" i="2"/>
  <c r="R80" i="2"/>
  <c r="R79" i="2"/>
  <c r="R78" i="2"/>
  <c r="R77" i="2"/>
  <c r="R76" i="2"/>
  <c r="R75" i="2"/>
  <c r="R74" i="2"/>
  <c r="R73" i="2"/>
  <c r="R72" i="2"/>
  <c r="R71" i="2"/>
  <c r="R70" i="2"/>
  <c r="R69" i="2"/>
  <c r="R68" i="2"/>
  <c r="R67" i="2"/>
  <c r="R66" i="2"/>
  <c r="R65" i="2"/>
  <c r="R64" i="2"/>
  <c r="R63" i="2"/>
  <c r="R62" i="2"/>
  <c r="R61" i="2"/>
  <c r="R60" i="2"/>
  <c r="R59" i="2"/>
  <c r="R58" i="2"/>
  <c r="R57" i="2"/>
  <c r="R56" i="2"/>
  <c r="R55" i="2"/>
  <c r="R54" i="2"/>
  <c r="R53" i="2"/>
  <c r="R52" i="2"/>
  <c r="R51" i="2"/>
  <c r="R50" i="2"/>
  <c r="R49" i="2"/>
  <c r="R48" i="2"/>
  <c r="R47" i="2"/>
  <c r="R46" i="2"/>
  <c r="R45" i="2"/>
  <c r="R44" i="2"/>
  <c r="R43" i="2"/>
  <c r="R42" i="2"/>
  <c r="R41" i="2"/>
  <c r="R40" i="2"/>
  <c r="R39" i="2"/>
  <c r="R3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<sst xmlns="http://schemas.openxmlformats.org/spreadsheetml/2006/main" count="100" uniqueCount="91">
  <si>
    <t>Mes</t>
  </si>
  <si>
    <t>Dividendo</t>
  </si>
  <si>
    <t>CLF</t>
  </si>
  <si>
    <t>CLP</t>
  </si>
  <si>
    <t>Operativa</t>
  </si>
  <si>
    <t>Valor Propiedad</t>
  </si>
  <si>
    <t>Pie</t>
  </si>
  <si>
    <t>Comision 2%</t>
  </si>
  <si>
    <t>CLFCLP</t>
  </si>
  <si>
    <t>Valor Compra</t>
  </si>
  <si>
    <t>Años</t>
  </si>
  <si>
    <t>Tasa Mensual</t>
  </si>
  <si>
    <t>Personas</t>
  </si>
  <si>
    <t>Total Inversion Inicial</t>
  </si>
  <si>
    <t>Inmueble</t>
  </si>
  <si>
    <t>Area</t>
  </si>
  <si>
    <t>Departamento</t>
  </si>
  <si>
    <t>Arriendo</t>
  </si>
  <si>
    <t>IRR</t>
  </si>
  <si>
    <t>Plusvalia</t>
  </si>
  <si>
    <t>Tasación Propiedad</t>
  </si>
  <si>
    <t>Estudios de Título</t>
  </si>
  <si>
    <t>Gastos Notariales</t>
  </si>
  <si>
    <t>Redacción Escritura</t>
  </si>
  <si>
    <t>Conservador de Bienes Raíces</t>
  </si>
  <si>
    <t>Impuesto al Mutuo</t>
  </si>
  <si>
    <t>DFL2</t>
  </si>
  <si>
    <t>Gastos Operacionales Totales</t>
  </si>
  <si>
    <t>Meses de gracia</t>
  </si>
  <si>
    <t>Valor Credito</t>
  </si>
  <si>
    <t>Capital</t>
  </si>
  <si>
    <t>Arriendo / Mes</t>
  </si>
  <si>
    <t>Administración Arriendo / Mes</t>
  </si>
  <si>
    <t>Tasa Ocupacional / Anual</t>
  </si>
  <si>
    <t>Plusvalía / Anual</t>
  </si>
  <si>
    <t>Seguro Incendio + Sismo / Mes</t>
  </si>
  <si>
    <t>Seguro Desgravamen / Mes</t>
  </si>
  <si>
    <t>Dividendo / Mes</t>
  </si>
  <si>
    <t>Gastos Comunes / Mes</t>
  </si>
  <si>
    <t>Remodelaciones / Anual</t>
  </si>
  <si>
    <t>Contribuciones / Anual</t>
  </si>
  <si>
    <t>Abono Capital</t>
  </si>
  <si>
    <t>Capital Pasivo</t>
  </si>
  <si>
    <t>Precio m^2 (CLF)</t>
  </si>
  <si>
    <t>Cap Rate Bruto</t>
  </si>
  <si>
    <t>Cap Rate Neto</t>
  </si>
  <si>
    <t>Aumento Arriendo / Anual</t>
  </si>
  <si>
    <t>Gastos</t>
  </si>
  <si>
    <t>Seguro</t>
  </si>
  <si>
    <t>Net Flow</t>
  </si>
  <si>
    <t>Accum. Flow</t>
  </si>
  <si>
    <t>Ganancia</t>
  </si>
  <si>
    <t>IRR Yield</t>
  </si>
  <si>
    <t>CAE</t>
  </si>
  <si>
    <t xml:space="preserve"> </t>
  </si>
  <si>
    <t>Nueva</t>
  </si>
  <si>
    <t>Inflation Target</t>
  </si>
  <si>
    <t>Tasa Anual Lineal</t>
  </si>
  <si>
    <t>Flow ROI</t>
  </si>
  <si>
    <t>Patrimonio</t>
  </si>
  <si>
    <t>Credito Hipotecario (Pasivo)</t>
  </si>
  <si>
    <t>Propiedad Inmobiliaria (Activo)</t>
  </si>
  <si>
    <t>Cash &amp; Liquidity</t>
  </si>
  <si>
    <t>Funding Cost</t>
  </si>
  <si>
    <t>Tasa Hipoteca</t>
  </si>
  <si>
    <t>Benchmark Rate</t>
  </si>
  <si>
    <t>Benchmark Df</t>
  </si>
  <si>
    <t>Market Data</t>
  </si>
  <si>
    <t>Intereses</t>
  </si>
  <si>
    <t xml:space="preserve">Simulacion al Mes </t>
  </si>
  <si>
    <t>Amortización</t>
  </si>
  <si>
    <t>Flujo de Caja</t>
  </si>
  <si>
    <t>Rentabilidad Anual</t>
  </si>
  <si>
    <t>Rentabilidad Sobre Benchmark</t>
  </si>
  <si>
    <t>Rate Benchmark</t>
  </si>
  <si>
    <t>Mejor Mes para la Venta</t>
  </si>
  <si>
    <t>Patrimonio Total</t>
  </si>
  <si>
    <t>Ganacia</t>
  </si>
  <si>
    <t>Costo/Beneficio de Funding</t>
  </si>
  <si>
    <t>Rentabilidad del Flujo de Caja</t>
  </si>
  <si>
    <t>Rentabilidad Neta Total</t>
  </si>
  <si>
    <t>Resultados Simulación</t>
  </si>
  <si>
    <t>Flujo de Caja Mensual</t>
  </si>
  <si>
    <t>Fondo Reserva / Mes</t>
  </si>
  <si>
    <t>Arrendador</t>
  </si>
  <si>
    <t>Tipo Rol</t>
  </si>
  <si>
    <t>Mantenciones Locativas / Anual</t>
  </si>
  <si>
    <t>Reparaciones No-Locativas / Anual</t>
  </si>
  <si>
    <t>1,2</t>
  </si>
  <si>
    <t>2,3</t>
  </si>
  <si>
    <t>Gastos /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</si>
</sst>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6" formatCode="&quot;$&quot;#,##0;[Red]&quot;$&quot;\-#,##0"/>
    <numFmt numFmtId="8" formatCode="&quot;$&quot;#,##0.00;[Red]&quot;$&quot;\-#,##0.00"/>
    <numFmt numFmtId="41" formatCode="_ * #,##0_ ;_ * \-#,##0_ ;_ * &quot;-&quot;_ ;_ @_ "/>
    <numFmt numFmtId="43" formatCode="_ * #,##0.00_ ;_ * \-#,##0.00_ ;_ * &quot;-&quot;??_ ;_ @_ "/>
    <numFmt numFmtId="164" formatCode="_ * #,##0.00_ ;_ * \-#,##0.00_ ;_ * &quot;-&quot;_ ;_ @_ "/>
    <numFmt numFmtId="168" formatCode="#,##0\ &quot;m^2&quot;"/>
    <numFmt numFmtId="176" formatCode="0.0%"/>
    <numFmt numFmtId="178" formatCode="_ * #,##0.0_ ;_ * \-#,##0.0_ ;_ * &quot;-&quot;_ ;_ @_ "/>
    <numFmt numFmtId="179" formatCode="0.0"/>
    <numFmt numFmtId="192" formatCode="_ * #,##0.000000_ ;_ * \-#,##0.000000_ ;_ * &quot;-&quot;??_ ;_ @_ "/>
    <numFmt numFmtId="193" formatCode="_ * #,##0.000000_ ;_ * \-#,##0.000000_ ;_ * &quot;-&quot;_ ;_ @_ "/>
    <numFmt numFmtId="195" formatCode="0.000%"/>
    <numFmt numFmtId="198" formatCode="\+\ &quot;$&quot;#,##0;[Red]&quot;$&quot;\-#,##0"/>
    <numFmt numFmtId="200" formatCode="\+\ &quot;$&quot;#,##0.00;[Red]&quot;$&quot;\-#,##0.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E3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7">
    <xf numFmtId="0" fontId="0" fillId="0" borderId="0" xfId="0"/>
    <xf numFmtId="0" fontId="0" fillId="3" borderId="0" xfId="0" applyFill="1"/>
    <xf numFmtId="41" fontId="0" fillId="0" borderId="3" xfId="1" applyFont="1" applyBorder="1"/>
    <xf numFmtId="41" fontId="0" fillId="0" borderId="2" xfId="1" applyFont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43" fontId="0" fillId="0" borderId="0" xfId="0" applyNumberFormat="1"/>
    <xf numFmtId="164" fontId="0" fillId="0" borderId="7" xfId="1" applyNumberFormat="1" applyFont="1" applyBorder="1"/>
    <xf numFmtId="41" fontId="0" fillId="0" borderId="8" xfId="1" applyFont="1" applyBorder="1"/>
    <xf numFmtId="0" fontId="0" fillId="4" borderId="4" xfId="0" applyFill="1" applyBorder="1"/>
    <xf numFmtId="0" fontId="0" fillId="4" borderId="9" xfId="0" applyFill="1" applyBorder="1"/>
    <xf numFmtId="41" fontId="2" fillId="0" borderId="3" xfId="1" applyFont="1" applyBorder="1"/>
    <xf numFmtId="41" fontId="0" fillId="0" borderId="0" xfId="1" applyFont="1"/>
    <xf numFmtId="41" fontId="2" fillId="0" borderId="1" xfId="1" applyFont="1" applyBorder="1"/>
    <xf numFmtId="10" fontId="0" fillId="0" borderId="0" xfId="2" applyNumberFormat="1" applyFont="1"/>
    <xf numFmtId="41" fontId="0" fillId="0" borderId="0" xfId="0" applyNumberFormat="1"/>
    <xf numFmtId="164" fontId="0" fillId="0" borderId="0" xfId="1" applyNumberFormat="1" applyFont="1"/>
    <xf numFmtId="41" fontId="0" fillId="6" borderId="10" xfId="1" applyFont="1" applyFill="1" applyBorder="1"/>
    <xf numFmtId="41" fontId="0" fillId="6" borderId="0" xfId="1" applyFont="1" applyFill="1" applyBorder="1"/>
    <xf numFmtId="0" fontId="0" fillId="0" borderId="8" xfId="0" applyBorder="1"/>
    <xf numFmtId="10" fontId="0" fillId="6" borderId="0" xfId="0" applyNumberFormat="1" applyFill="1"/>
    <xf numFmtId="41" fontId="0" fillId="6" borderId="4" xfId="1" applyFont="1" applyFill="1" applyBorder="1"/>
    <xf numFmtId="164" fontId="0" fillId="0" borderId="9" xfId="1" applyNumberFormat="1" applyFont="1" applyBorder="1"/>
    <xf numFmtId="43" fontId="0" fillId="0" borderId="2" xfId="0" applyNumberFormat="1" applyBorder="1"/>
    <xf numFmtId="164" fontId="0" fillId="0" borderId="4" xfId="1" applyNumberFormat="1" applyFont="1" applyBorder="1"/>
    <xf numFmtId="43" fontId="2" fillId="0" borderId="11" xfId="0" applyNumberFormat="1" applyFont="1" applyBorder="1"/>
    <xf numFmtId="43" fontId="2" fillId="0" borderId="5" xfId="0" applyNumberFormat="1" applyFont="1" applyBorder="1"/>
    <xf numFmtId="41" fontId="0" fillId="3" borderId="5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6" borderId="7" xfId="1" applyNumberFormat="1" applyFont="1" applyFill="1" applyBorder="1"/>
    <xf numFmtId="8" fontId="0" fillId="0" borderId="0" xfId="0" applyNumberFormat="1"/>
    <xf numFmtId="1" fontId="0" fillId="6" borderId="0" xfId="1" applyNumberFormat="1" applyFont="1" applyFill="1" applyBorder="1"/>
    <xf numFmtId="0" fontId="0" fillId="0" borderId="0" xfId="0" applyBorder="1"/>
    <xf numFmtId="41" fontId="0" fillId="0" borderId="0" xfId="1" applyFont="1" applyBorder="1"/>
    <xf numFmtId="41" fontId="2" fillId="0" borderId="0" xfId="1" applyFont="1" applyBorder="1"/>
    <xf numFmtId="43" fontId="0" fillId="0" borderId="0" xfId="0" applyNumberFormat="1" applyBorder="1"/>
    <xf numFmtId="0" fontId="0" fillId="0" borderId="2" xfId="0" applyBorder="1"/>
    <xf numFmtId="41" fontId="0" fillId="0" borderId="0" xfId="1" applyFont="1" applyFill="1" applyBorder="1"/>
    <xf numFmtId="10" fontId="0" fillId="0" borderId="0" xfId="2" applyNumberFormat="1" applyFont="1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11" xfId="0" applyFill="1" applyBorder="1"/>
    <xf numFmtId="0" fontId="0" fillId="5" borderId="4" xfId="0" applyFill="1" applyBorder="1"/>
    <xf numFmtId="0" fontId="0" fillId="5" borderId="7" xfId="0" applyFill="1" applyBorder="1"/>
    <xf numFmtId="0" fontId="0" fillId="5" borderId="9" xfId="0" applyFill="1" applyBorder="1"/>
    <xf numFmtId="0" fontId="0" fillId="7" borderId="4" xfId="0" applyFill="1" applyBorder="1"/>
    <xf numFmtId="0" fontId="0" fillId="8" borderId="7" xfId="0" applyFill="1" applyBorder="1"/>
    <xf numFmtId="0" fontId="0" fillId="7" borderId="9" xfId="0" applyFill="1" applyBorder="1"/>
    <xf numFmtId="0" fontId="0" fillId="5" borderId="10" xfId="0" applyFill="1" applyBorder="1"/>
    <xf numFmtId="0" fontId="0" fillId="5" borderId="0" xfId="0" applyFill="1" applyBorder="1"/>
    <xf numFmtId="0" fontId="0" fillId="5" borderId="11" xfId="0" applyFill="1" applyBorder="1"/>
    <xf numFmtId="0" fontId="0" fillId="7" borderId="10" xfId="0" applyFill="1" applyBorder="1"/>
    <xf numFmtId="0" fontId="0" fillId="8" borderId="0" xfId="0" applyFill="1" applyBorder="1"/>
    <xf numFmtId="0" fontId="0" fillId="7" borderId="11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8" xfId="0" applyFill="1" applyBorder="1"/>
    <xf numFmtId="0" fontId="0" fillId="4" borderId="3" xfId="0" applyFill="1" applyBorder="1"/>
    <xf numFmtId="176" fontId="0" fillId="0" borderId="0" xfId="2" applyNumberFormat="1" applyFont="1" applyBorder="1"/>
    <xf numFmtId="10" fontId="0" fillId="6" borderId="0" xfId="2" applyNumberFormat="1" applyFont="1" applyFill="1" applyBorder="1"/>
    <xf numFmtId="6" fontId="0" fillId="0" borderId="0" xfId="0" applyNumberFormat="1"/>
    <xf numFmtId="6" fontId="0" fillId="6" borderId="0" xfId="0" applyNumberFormat="1" applyFill="1"/>
    <xf numFmtId="41" fontId="0" fillId="0" borderId="2" xfId="0" applyNumberFormat="1" applyBorder="1"/>
    <xf numFmtId="41" fontId="0" fillId="0" borderId="8" xfId="0" applyNumberFormat="1" applyBorder="1"/>
    <xf numFmtId="41" fontId="0" fillId="0" borderId="3" xfId="0" applyNumberFormat="1" applyBorder="1"/>
    <xf numFmtId="0" fontId="0" fillId="3" borderId="4" xfId="0" applyFill="1" applyBorder="1"/>
    <xf numFmtId="0" fontId="0" fillId="3" borderId="2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3" xfId="0" applyFill="1" applyBorder="1"/>
    <xf numFmtId="9" fontId="0" fillId="6" borderId="7" xfId="0" applyNumberFormat="1" applyFill="1" applyBorder="1"/>
    <xf numFmtId="164" fontId="0" fillId="6" borderId="4" xfId="0" applyNumberFormat="1" applyFill="1" applyBorder="1"/>
    <xf numFmtId="164" fontId="0" fillId="6" borderId="7" xfId="0" applyNumberFormat="1" applyFill="1" applyBorder="1"/>
    <xf numFmtId="10" fontId="0" fillId="0" borderId="9" xfId="2" applyNumberFormat="1" applyFont="1" applyFill="1" applyBorder="1"/>
    <xf numFmtId="178" fontId="0" fillId="6" borderId="7" xfId="0" applyNumberFormat="1" applyFill="1" applyBorder="1"/>
    <xf numFmtId="178" fontId="0" fillId="6" borderId="7" xfId="1" applyNumberFormat="1" applyFont="1" applyFill="1" applyBorder="1"/>
    <xf numFmtId="10" fontId="2" fillId="0" borderId="7" xfId="2" applyNumberFormat="1" applyFont="1" applyFill="1" applyBorder="1"/>
    <xf numFmtId="9" fontId="0" fillId="0" borderId="0" xfId="0" applyNumberFormat="1"/>
    <xf numFmtId="176" fontId="0" fillId="0" borderId="0" xfId="0" applyNumberFormat="1"/>
    <xf numFmtId="179" fontId="0" fillId="0" borderId="0" xfId="0" applyNumberFormat="1"/>
    <xf numFmtId="0" fontId="0" fillId="3" borderId="0" xfId="0" applyFill="1" applyBorder="1"/>
    <xf numFmtId="176" fontId="0" fillId="0" borderId="0" xfId="2" applyNumberFormat="1" applyFont="1"/>
    <xf numFmtId="10" fontId="0" fillId="0" borderId="0" xfId="0" applyNumberFormat="1"/>
    <xf numFmtId="0" fontId="0" fillId="4" borderId="5" xfId="0" applyFill="1" applyBorder="1"/>
    <xf numFmtId="0" fontId="0" fillId="4" borderId="6" xfId="0" applyFill="1" applyBorder="1"/>
    <xf numFmtId="10" fontId="2" fillId="0" borderId="9" xfId="2" applyNumberFormat="1" applyFont="1" applyBorder="1"/>
    <xf numFmtId="176" fontId="0" fillId="6" borderId="7" xfId="0" applyNumberFormat="1" applyFill="1" applyBorder="1"/>
    <xf numFmtId="0" fontId="0" fillId="7" borderId="3" xfId="0" applyFill="1" applyBorder="1"/>
    <xf numFmtId="0" fontId="0" fillId="9" borderId="4" xfId="0" applyFill="1" applyBorder="1"/>
    <xf numFmtId="0" fontId="0" fillId="9" borderId="10" xfId="0" applyFill="1" applyBorder="1"/>
    <xf numFmtId="0" fontId="0" fillId="9" borderId="7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11" xfId="0" applyFill="1" applyBorder="1"/>
    <xf numFmtId="0" fontId="0" fillId="3" borderId="10" xfId="0" applyFill="1" applyBorder="1"/>
    <xf numFmtId="41" fontId="0" fillId="6" borderId="2" xfId="1" applyFont="1" applyFill="1" applyBorder="1"/>
    <xf numFmtId="10" fontId="0" fillId="6" borderId="8" xfId="1" applyNumberFormat="1" applyFont="1" applyFill="1" applyBorder="1"/>
    <xf numFmtId="0" fontId="0" fillId="3" borderId="11" xfId="0" applyFill="1" applyBorder="1"/>
    <xf numFmtId="10" fontId="0" fillId="6" borderId="3" xfId="1" applyNumberFormat="1" applyFont="1" applyFill="1" applyBorder="1"/>
    <xf numFmtId="8" fontId="0" fillId="4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8" fontId="0" fillId="2" borderId="0" xfId="0" applyNumberFormat="1" applyFill="1" applyAlignment="1">
      <alignment horizontal="center"/>
    </xf>
    <xf numFmtId="43" fontId="0" fillId="10" borderId="0" xfId="0" applyNumberFormat="1" applyFill="1" applyAlignment="1">
      <alignment horizontal="center"/>
    </xf>
    <xf numFmtId="10" fontId="0" fillId="6" borderId="0" xfId="2" applyNumberFormat="1" applyFont="1" applyFill="1"/>
    <xf numFmtId="192" fontId="0" fillId="6" borderId="0" xfId="0" applyNumberFormat="1" applyFill="1"/>
    <xf numFmtId="193" fontId="0" fillId="6" borderId="0" xfId="0" applyNumberFormat="1" applyFill="1"/>
    <xf numFmtId="0" fontId="0" fillId="2" borderId="0" xfId="0" applyFill="1" applyBorder="1" applyAlignment="1">
      <alignment horizontal="center"/>
    </xf>
    <xf numFmtId="195" fontId="0" fillId="0" borderId="0" xfId="2" applyNumberFormat="1" applyFont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41" fontId="0" fillId="3" borderId="4" xfId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6" fontId="0" fillId="0" borderId="10" xfId="0" applyNumberFormat="1" applyBorder="1"/>
    <xf numFmtId="6" fontId="0" fillId="0" borderId="2" xfId="0" applyNumberFormat="1" applyBorder="1"/>
    <xf numFmtId="6" fontId="0" fillId="0" borderId="0" xfId="0" applyNumberFormat="1" applyBorder="1"/>
    <xf numFmtId="6" fontId="0" fillId="0" borderId="8" xfId="0" applyNumberFormat="1" applyBorder="1"/>
    <xf numFmtId="6" fontId="2" fillId="0" borderId="0" xfId="0" applyNumberFormat="1" applyFont="1" applyBorder="1"/>
    <xf numFmtId="6" fontId="2" fillId="0" borderId="8" xfId="0" applyNumberFormat="1" applyFont="1" applyBorder="1"/>
    <xf numFmtId="0" fontId="2" fillId="0" borderId="0" xfId="0" applyFont="1" applyBorder="1"/>
    <xf numFmtId="0" fontId="2" fillId="0" borderId="8" xfId="0" applyFont="1" applyBorder="1" applyAlignment="1">
      <alignment horizontal="center"/>
    </xf>
    <xf numFmtId="176" fontId="2" fillId="0" borderId="0" xfId="2" applyNumberFormat="1" applyFont="1" applyBorder="1"/>
    <xf numFmtId="43" fontId="0" fillId="0" borderId="8" xfId="0" applyNumberFormat="1" applyBorder="1"/>
    <xf numFmtId="6" fontId="0" fillId="0" borderId="3" xfId="0" applyNumberFormat="1" applyBorder="1"/>
    <xf numFmtId="198" fontId="2" fillId="0" borderId="0" xfId="0" applyNumberFormat="1" applyFont="1" applyBorder="1"/>
    <xf numFmtId="198" fontId="2" fillId="0" borderId="8" xfId="0" applyNumberFormat="1" applyFont="1" applyBorder="1"/>
    <xf numFmtId="8" fontId="0" fillId="0" borderId="0" xfId="0" applyNumberFormat="1" applyBorder="1"/>
    <xf numFmtId="176" fontId="0" fillId="0" borderId="11" xfId="2" applyNumberFormat="1" applyFont="1" applyBorder="1"/>
    <xf numFmtId="200" fontId="2" fillId="0" borderId="0" xfId="0" applyNumberFormat="1" applyFont="1" applyBorder="1"/>
    <xf numFmtId="0" fontId="0" fillId="6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1" borderId="5" xfId="0" applyFill="1" applyBorder="1"/>
    <xf numFmtId="0" fontId="0" fillId="11" borderId="6" xfId="0" applyFill="1" applyBorder="1"/>
    <xf numFmtId="0" fontId="0" fillId="7" borderId="2" xfId="0" applyFill="1" applyBorder="1"/>
    <xf numFmtId="0" fontId="0" fillId="7" borderId="7" xfId="0" applyFill="1" applyBorder="1"/>
    <xf numFmtId="0" fontId="0" fillId="7" borderId="8" xfId="0" applyFill="1" applyBorder="1"/>
    <xf numFmtId="9" fontId="0" fillId="6" borderId="4" xfId="0" applyNumberFormat="1" applyFill="1" applyBorder="1"/>
    <xf numFmtId="41" fontId="0" fillId="6" borderId="9" xfId="1" applyFont="1" applyFill="1" applyBorder="1"/>
    <xf numFmtId="41" fontId="3" fillId="0" borderId="0" xfId="1" applyFont="1" applyBorder="1" applyAlignment="1">
      <alignment horizontal="right"/>
    </xf>
    <xf numFmtId="164" fontId="0" fillId="0" borderId="5" xfId="1" applyNumberFormat="1" applyFont="1" applyBorder="1"/>
    <xf numFmtId="164" fontId="0" fillId="0" borderId="1" xfId="1" applyNumberFormat="1" applyFont="1" applyBorder="1"/>
    <xf numFmtId="0" fontId="0" fillId="6" borderId="4" xfId="0" applyFill="1" applyBorder="1" applyAlignment="1">
      <alignment horizontal="center" vertical="center"/>
    </xf>
    <xf numFmtId="168" fontId="0" fillId="6" borderId="7" xfId="0" applyNumberFormat="1" applyFill="1" applyBorder="1" applyAlignment="1">
      <alignment horizontal="center"/>
    </xf>
    <xf numFmtId="1" fontId="2" fillId="0" borderId="9" xfId="0" applyNumberFormat="1" applyFont="1" applyBorder="1" applyAlignment="1">
      <alignment horizont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FFCC"/>
      <color rgb="FFFFFF99"/>
      <color rgb="FFFFCCCC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25</xdr:row>
      <xdr:rowOff>19050</xdr:rowOff>
    </xdr:from>
    <xdr:to>
      <xdr:col>17</xdr:col>
      <xdr:colOff>458658</xdr:colOff>
      <xdr:row>53</xdr:row>
      <xdr:rowOff>143637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CB6781-9F56-984F-A507-0EDFEEF99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4781550"/>
          <a:ext cx="10450383" cy="5458587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</xdr:row>
      <xdr:rowOff>142875</xdr:rowOff>
    </xdr:from>
    <xdr:to>
      <xdr:col>17</xdr:col>
      <xdr:colOff>515778</xdr:colOff>
      <xdr:row>20</xdr:row>
      <xdr:rowOff>162353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3C44BC-CF6F-5529-099D-CFA914011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904875"/>
          <a:ext cx="10231278" cy="3067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2A7C-CBC7-46DF-B701-48252FA6C809}">
  <dimension ref="A2:Z428"/>
  <sheetViews>
    <sheetView showGridLines="0" tabSelected="1" topLeftCell="D1" zoomScale="120" zoomScaleNormal="120" workbookViewId="0">
      <selection activeCell="J2" sqref="J2:K2"/>
    </sheetView>
  </sheetViews>
  <sheetFormatPr defaultColWidth="11.42578125" defaultRowHeight="15" x14ac:dyDescent="0.25"/>
  <cols>
    <col min="1" max="1" width="9.85546875" bestFit="1" customWidth="1"/>
    <col min="2" max="2" width="8.140625" style="33" customWidth="1"/>
    <col min="3" max="3" width="15.42578125" style="33" customWidth="1"/>
    <col min="4" max="4" width="13.7109375" customWidth="1"/>
    <col min="5" max="6" width="13.42578125" customWidth="1"/>
    <col min="7" max="7" width="13.85546875" customWidth="1"/>
    <col min="8" max="9" width="15.7109375" customWidth="1"/>
    <col min="10" max="10" width="14.28515625" customWidth="1"/>
    <col min="11" max="11" width="15.42578125" bestFit="1" customWidth="1"/>
    <col min="12" max="12" width="14.42578125" bestFit="1" customWidth="1"/>
    <col min="13" max="13" width="13.42578125" customWidth="1"/>
    <col min="14" max="14" width="14" customWidth="1"/>
    <col min="15" max="15" width="13.140625" customWidth="1"/>
    <col min="16" max="16" width="14.5703125" bestFit="1" customWidth="1"/>
    <col min="17" max="17" width="14.7109375" customWidth="1"/>
    <col min="18" max="18" width="14.85546875" customWidth="1"/>
    <col min="19" max="19" width="12.85546875" customWidth="1"/>
    <col min="20" max="21" width="14" customWidth="1"/>
    <col min="23" max="23" width="14.85546875" bestFit="1" customWidth="1"/>
  </cols>
  <sheetData>
    <row r="2" spans="2:18" x14ac:dyDescent="0.25">
      <c r="B2" s="66" t="s">
        <v>8</v>
      </c>
      <c r="C2" s="96"/>
      <c r="D2" s="67"/>
      <c r="E2" s="97">
        <v>37865.019999999997</v>
      </c>
      <c r="H2" s="134" t="s">
        <v>85</v>
      </c>
      <c r="I2" s="135"/>
      <c r="J2" s="132" t="s">
        <v>84</v>
      </c>
      <c r="K2" s="133"/>
      <c r="L2" s="111">
        <f>IF(J2="Arrendatario",1,IF(J2="Comprador",2,3))</f>
        <v>3</v>
      </c>
      <c r="M2" s="85" t="s">
        <v>69</v>
      </c>
      <c r="N2" s="86"/>
      <c r="O2" s="131">
        <v>60</v>
      </c>
      <c r="P2" s="110" t="str">
        <f>ROUND(O2/12,1)&amp;" Años"</f>
        <v>5 Años</v>
      </c>
      <c r="Q2" s="111"/>
    </row>
    <row r="3" spans="2:18" x14ac:dyDescent="0.25">
      <c r="B3" s="68" t="s">
        <v>74</v>
      </c>
      <c r="C3" s="82"/>
      <c r="D3" s="69"/>
      <c r="E3" s="98">
        <v>0.08</v>
      </c>
      <c r="L3" s="111"/>
    </row>
    <row r="4" spans="2:18" x14ac:dyDescent="0.25">
      <c r="B4" s="70" t="s">
        <v>56</v>
      </c>
      <c r="C4" s="99"/>
      <c r="D4" s="71"/>
      <c r="E4" s="100">
        <v>3.3000000000000002E-2</v>
      </c>
      <c r="L4" s="111"/>
    </row>
    <row r="5" spans="2:18" x14ac:dyDescent="0.25">
      <c r="L5" s="111"/>
      <c r="M5" s="112" t="s">
        <v>81</v>
      </c>
      <c r="O5" s="113" t="s">
        <v>2</v>
      </c>
      <c r="P5" s="114" t="s">
        <v>3</v>
      </c>
      <c r="Q5" s="16"/>
      <c r="R5" s="16"/>
    </row>
    <row r="6" spans="2:18" x14ac:dyDescent="0.25">
      <c r="E6" s="28" t="s">
        <v>2</v>
      </c>
      <c r="F6" s="29" t="s">
        <v>3</v>
      </c>
      <c r="J6" s="28" t="s">
        <v>2</v>
      </c>
      <c r="K6" s="29" t="s">
        <v>3</v>
      </c>
      <c r="L6" s="111"/>
      <c r="M6" s="10" t="s">
        <v>19</v>
      </c>
      <c r="N6" s="56"/>
      <c r="O6" s="115" cm="1">
        <f t="array" ref="O6">IF(L2&lt;&gt;1,INDEX($K$36:$K$424,$O$2+1)-valor_compra,0)</f>
        <v>1589.6602147200038</v>
      </c>
      <c r="P6" s="116">
        <f>IF(O6&lt;&gt;0,O6*$E$2,"")</f>
        <v>60192515.823577233</v>
      </c>
      <c r="R6" s="16"/>
    </row>
    <row r="7" spans="2:18" x14ac:dyDescent="0.25">
      <c r="B7" s="10" t="s">
        <v>9</v>
      </c>
      <c r="C7" s="40"/>
      <c r="D7" s="56"/>
      <c r="E7" s="18">
        <v>4700</v>
      </c>
      <c r="F7" s="3">
        <f>IF(E7&lt;&gt;0,E7*$E$2,"")</f>
        <v>177965593.99999997</v>
      </c>
      <c r="G7" s="141">
        <f>IF(ISNUMBER(SEARCH($L$2, L7)), 1, 0)*IF(ISNUMBER(SEARCH("Anual", H7)), 1/12, 1)</f>
        <v>0</v>
      </c>
      <c r="H7" s="90" t="s">
        <v>31</v>
      </c>
      <c r="I7" s="91"/>
      <c r="J7" s="73">
        <v>20</v>
      </c>
      <c r="K7" s="63">
        <f t="shared" ref="K7" si="0">IF(J7&lt;&gt;0,J7*$E$2,"")</f>
        <v>757300.39999999991</v>
      </c>
      <c r="L7" s="111">
        <v>1</v>
      </c>
      <c r="M7" s="55" t="s">
        <v>70</v>
      </c>
      <c r="N7" s="57"/>
      <c r="O7" s="117" cm="1">
        <f t="array" ref="O7">IF(L2&lt;&gt;1,INDEX($J$36:$J$424,$O$2+1)+(valor_compra),0)</f>
        <v>735.32046555923716</v>
      </c>
      <c r="P7" s="118">
        <f>IF(O7&lt;&gt;0,O7*$E$2,"")</f>
        <v>27842924.134809826</v>
      </c>
      <c r="Q7" s="16"/>
    </row>
    <row r="8" spans="2:18" x14ac:dyDescent="0.25">
      <c r="B8" s="55" t="s">
        <v>6</v>
      </c>
      <c r="C8" s="41"/>
      <c r="D8" s="57"/>
      <c r="E8" s="19">
        <f>valor_compra*10%</f>
        <v>470</v>
      </c>
      <c r="F8" s="9">
        <f t="shared" ref="F8:F9" si="1">IF(E8&lt;&gt;0,E8*$E$2,"")</f>
        <v>17796559.399999999</v>
      </c>
      <c r="G8" s="141">
        <f t="shared" ref="G8:G14" si="2">IF(ISNUMBER(SEARCH($L$2, L8)), 1, 0)*IF(ISNUMBER(SEARCH("Anual", H8)), 1/12, 1)</f>
        <v>0</v>
      </c>
      <c r="H8" s="92" t="s">
        <v>38</v>
      </c>
      <c r="I8" s="93"/>
      <c r="J8" s="74">
        <v>3.5</v>
      </c>
      <c r="K8" s="64">
        <f>IF(J8&lt;&gt;0,J8*$E$2,"")</f>
        <v>132527.56999999998</v>
      </c>
      <c r="L8" s="111" t="s">
        <v>88</v>
      </c>
      <c r="M8" s="55" t="s">
        <v>71</v>
      </c>
      <c r="N8" s="57"/>
      <c r="O8" s="117" cm="1">
        <f t="array" ref="O8">INDEX($Q$36:$Q$424,$O$2+1)</f>
        <v>-1105.4016240339076</v>
      </c>
      <c r="P8" s="118">
        <f>IF(O8&lt;&gt;0,O8*$E$2,"")</f>
        <v>-41856054.602076389</v>
      </c>
      <c r="Q8" s="16"/>
    </row>
    <row r="9" spans="2:18" x14ac:dyDescent="0.25">
      <c r="B9" s="55" t="s">
        <v>10</v>
      </c>
      <c r="C9" s="41"/>
      <c r="D9" s="57"/>
      <c r="E9" s="19">
        <v>30</v>
      </c>
      <c r="F9" s="9">
        <f t="shared" si="1"/>
        <v>1135950.5999999999</v>
      </c>
      <c r="G9" s="141">
        <f t="shared" si="2"/>
        <v>1</v>
      </c>
      <c r="H9" s="92" t="s">
        <v>83</v>
      </c>
      <c r="I9" s="93"/>
      <c r="J9" s="74">
        <v>0.25</v>
      </c>
      <c r="K9" s="64">
        <f>IF(J9&lt;&gt;0,J9*$E$2,"")</f>
        <v>9466.2549999999992</v>
      </c>
      <c r="L9" s="111" t="s">
        <v>89</v>
      </c>
      <c r="M9" s="55"/>
      <c r="N9" s="57"/>
      <c r="O9" s="33"/>
      <c r="P9" s="20"/>
      <c r="Q9" s="16"/>
    </row>
    <row r="10" spans="2:18" x14ac:dyDescent="0.25">
      <c r="B10" s="55" t="s">
        <v>57</v>
      </c>
      <c r="C10" s="41"/>
      <c r="D10" s="57"/>
      <c r="E10" s="21">
        <v>4.2999999999999997E-2</v>
      </c>
      <c r="F10" s="20"/>
      <c r="G10" s="141">
        <f t="shared" si="2"/>
        <v>1</v>
      </c>
      <c r="H10" s="92" t="s">
        <v>32</v>
      </c>
      <c r="I10" s="93"/>
      <c r="J10" s="76">
        <v>0</v>
      </c>
      <c r="K10" s="64" t="str">
        <f>IF(J10&lt;&gt;0,J10*$E$2,"")</f>
        <v/>
      </c>
      <c r="L10" s="111">
        <v>3</v>
      </c>
      <c r="M10" s="55" t="s">
        <v>51</v>
      </c>
      <c r="N10" s="57"/>
      <c r="O10" s="126" cm="1">
        <f t="array" ref="O10">INDEX($T$36:$T$424,$O$2+1)</f>
        <v>1219.579056245333</v>
      </c>
      <c r="P10" s="127">
        <f>IF(O10&lt;&gt;0,O10*$E$2,"")</f>
        <v>46179385.356310658</v>
      </c>
      <c r="Q10" s="16"/>
    </row>
    <row r="11" spans="2:18" x14ac:dyDescent="0.25">
      <c r="B11" s="55" t="s">
        <v>28</v>
      </c>
      <c r="C11" s="41"/>
      <c r="D11" s="57"/>
      <c r="E11" s="32">
        <v>6</v>
      </c>
      <c r="F11" s="20"/>
      <c r="G11" s="141">
        <f t="shared" si="2"/>
        <v>8.3333333333333329E-2</v>
      </c>
      <c r="H11" s="92" t="s">
        <v>40</v>
      </c>
      <c r="I11" s="93"/>
      <c r="J11" s="76">
        <v>4</v>
      </c>
      <c r="K11" s="64">
        <f>IF(J11&lt;&gt;0,J11*$E$2,"")</f>
        <v>151460.07999999999</v>
      </c>
      <c r="L11" s="111" t="s">
        <v>89</v>
      </c>
      <c r="M11" s="55" t="s">
        <v>76</v>
      </c>
      <c r="N11" s="57"/>
      <c r="O11" s="119" cm="1">
        <f t="array" ref="O11">IF(L2&lt;&gt;1,INDEX($U$36:$U$424,$O$2+1),0)</f>
        <v>1840.8190562453331</v>
      </c>
      <c r="P11" s="120">
        <f>IF(O11&lt;&gt;0,O11*$E$2,"")</f>
        <v>69702650.381110653</v>
      </c>
      <c r="Q11" s="16"/>
    </row>
    <row r="12" spans="2:18" x14ac:dyDescent="0.25">
      <c r="B12" s="55" t="s">
        <v>29</v>
      </c>
      <c r="C12" s="41"/>
      <c r="D12" s="57"/>
      <c r="E12" s="38">
        <f>valor_compra-pie</f>
        <v>4230</v>
      </c>
      <c r="F12" s="20"/>
      <c r="G12" s="141">
        <f t="shared" si="2"/>
        <v>0</v>
      </c>
      <c r="H12" s="92" t="s">
        <v>86</v>
      </c>
      <c r="I12" s="93"/>
      <c r="J12" s="77">
        <v>25</v>
      </c>
      <c r="K12" s="9">
        <f t="shared" ref="K12" si="3">IF(J12&lt;&gt;0,J12*$E$2,"")</f>
        <v>946625.49999999988</v>
      </c>
      <c r="L12" s="111" t="s">
        <v>88</v>
      </c>
      <c r="M12" s="55"/>
      <c r="N12" s="57"/>
      <c r="O12" s="33"/>
      <c r="P12" s="20"/>
      <c r="Q12" s="16"/>
    </row>
    <row r="13" spans="2:18" x14ac:dyDescent="0.25">
      <c r="B13" s="55" t="s">
        <v>11</v>
      </c>
      <c r="C13" s="41"/>
      <c r="D13" s="57"/>
      <c r="E13" s="39">
        <f>IF(B10="Tasa Mensual Compuesta Anualizada",E10/12,IF(B10="Tasa Anual Lineal",(1+E10)^(1/12)-1,E10))</f>
        <v>3.5145930840192463E-3</v>
      </c>
      <c r="F13" s="20"/>
      <c r="G13" s="141">
        <f t="shared" si="2"/>
        <v>8.3333333333333329E-2</v>
      </c>
      <c r="H13" s="92" t="s">
        <v>87</v>
      </c>
      <c r="I13" s="93"/>
      <c r="J13" s="76">
        <v>25</v>
      </c>
      <c r="K13" s="64">
        <f>IF(J13&lt;&gt;0,J13*$E$2,"")</f>
        <v>946625.49999999988</v>
      </c>
      <c r="L13" s="111" t="s">
        <v>89</v>
      </c>
      <c r="M13" s="55" t="s">
        <v>75</v>
      </c>
      <c r="N13" s="57"/>
      <c r="O13" s="121">
        <f>IF(L2&lt;&gt;1,MATCH(MAX(V36:V424),V36:V424,0)-1,0)</f>
        <v>30</v>
      </c>
      <c r="P13" s="122" t="str">
        <f>ROUND(O13/12,1)&amp;" Años"</f>
        <v>2.5 Años</v>
      </c>
    </row>
    <row r="14" spans="2:18" x14ac:dyDescent="0.25">
      <c r="B14" s="11" t="s">
        <v>37</v>
      </c>
      <c r="C14" s="42"/>
      <c r="D14" s="58"/>
      <c r="E14" s="26">
        <f>P0*rate*(rate+1)^(gracia+años*12)/((1+rate)^(12*años)-1)</f>
        <v>21.169659704331462</v>
      </c>
      <c r="F14" s="12">
        <f t="shared" ref="F14" si="4">IF(E14&lt;&gt;0,E14*$E$2,"")</f>
        <v>801589.58809770481</v>
      </c>
      <c r="G14" s="141">
        <f t="shared" si="2"/>
        <v>8.3333333333333329E-2</v>
      </c>
      <c r="H14" s="94" t="s">
        <v>39</v>
      </c>
      <c r="I14" s="95"/>
      <c r="J14" s="140"/>
      <c r="K14" s="65" t="str">
        <f>IF(J14&lt;&gt;0,J14*$E$2,"")</f>
        <v/>
      </c>
      <c r="L14" s="111" t="s">
        <v>89</v>
      </c>
      <c r="M14" s="55"/>
      <c r="N14" s="57"/>
      <c r="O14" s="33"/>
      <c r="P14" s="20"/>
      <c r="Q14" s="7"/>
    </row>
    <row r="15" spans="2:18" x14ac:dyDescent="0.25">
      <c r="E15" s="7"/>
      <c r="M15" s="55" t="s">
        <v>80</v>
      </c>
      <c r="N15" s="57"/>
      <c r="O15" s="123" cm="1">
        <f t="array" ref="O15">INDEX($W$36:$W$424,$O$2+1)</f>
        <v>1.6094797617228762</v>
      </c>
      <c r="P15" s="124"/>
      <c r="Q15" s="7"/>
      <c r="R15" s="7"/>
    </row>
    <row r="16" spans="2:18" x14ac:dyDescent="0.25">
      <c r="B16" s="43" t="s">
        <v>12</v>
      </c>
      <c r="C16" s="49"/>
      <c r="D16" s="49"/>
      <c r="E16" s="22">
        <v>2</v>
      </c>
      <c r="F16" s="24"/>
      <c r="G16" s="36"/>
      <c r="H16" s="43" t="s">
        <v>33</v>
      </c>
      <c r="I16" s="49"/>
      <c r="J16" s="139">
        <v>0.8</v>
      </c>
      <c r="K16" s="37"/>
      <c r="M16" s="55" t="s">
        <v>72</v>
      </c>
      <c r="N16" s="57"/>
      <c r="O16" s="123" cm="1">
        <f t="array" ref="O16">INDEX($V$36:$V$424,$O$2+1)</f>
        <v>0.19337166233616454</v>
      </c>
      <c r="P16" s="20"/>
      <c r="Q16" s="7"/>
    </row>
    <row r="17" spans="1:22" x14ac:dyDescent="0.25">
      <c r="B17" s="44" t="s">
        <v>35</v>
      </c>
      <c r="C17" s="50"/>
      <c r="D17" s="50"/>
      <c r="E17" s="8">
        <f>0.0003*E7*IF(J22="Casa",0.75,1)</f>
        <v>1.41</v>
      </c>
      <c r="F17" s="9">
        <f>IF(E17&lt;&gt;0,E17*$E$2,"")</f>
        <v>53389.678199999995</v>
      </c>
      <c r="G17" s="34"/>
      <c r="H17" s="44" t="s">
        <v>34</v>
      </c>
      <c r="I17" s="50"/>
      <c r="J17" s="88">
        <v>0.06</v>
      </c>
      <c r="K17" s="64"/>
      <c r="M17" s="55" t="s">
        <v>73</v>
      </c>
      <c r="N17" s="57"/>
      <c r="O17" s="59" cm="1">
        <f t="array" ref="O17">O16-INDEX($C$36:$C$424,$O$2+1)*12</f>
        <v>0.14562450048250408</v>
      </c>
      <c r="P17" s="124"/>
      <c r="Q17" s="7"/>
    </row>
    <row r="18" spans="1:22" x14ac:dyDescent="0.25">
      <c r="B18" s="44" t="s">
        <v>36</v>
      </c>
      <c r="C18" s="50"/>
      <c r="D18" s="50"/>
      <c r="E18" s="8">
        <f>0.0001*E7*E16</f>
        <v>0.94000000000000006</v>
      </c>
      <c r="F18" s="9">
        <f>IF(E18&lt;&gt;0,E18*$E$2,"")</f>
        <v>35593.118799999997</v>
      </c>
      <c r="G18" s="34"/>
      <c r="H18" s="44" t="s">
        <v>46</v>
      </c>
      <c r="I18" s="50"/>
      <c r="J18" s="72">
        <v>0</v>
      </c>
      <c r="K18" s="64"/>
      <c r="M18" s="55"/>
      <c r="N18" s="57"/>
      <c r="P18" s="124"/>
      <c r="Q18" s="7"/>
    </row>
    <row r="19" spans="1:22" x14ac:dyDescent="0.25">
      <c r="B19" s="45" t="s">
        <v>53</v>
      </c>
      <c r="C19" s="51"/>
      <c r="D19" s="51"/>
      <c r="E19" s="87">
        <f>IFERROR(RATE(12*años,E14+E17+E18,-P0)*12,0%)</f>
        <v>5.3115210349511277E-2</v>
      </c>
      <c r="F19" s="2"/>
      <c r="H19" s="44" t="s">
        <v>44</v>
      </c>
      <c r="I19" s="50"/>
      <c r="J19" s="78">
        <f>IF(J7&lt;&gt;0,J7*12/valor_compra,0)</f>
        <v>5.106382978723404E-2</v>
      </c>
      <c r="K19" s="64"/>
      <c r="M19" s="55" t="s">
        <v>82</v>
      </c>
      <c r="N19" s="57"/>
      <c r="O19" s="130" cm="1">
        <f t="array" ref="O19">INDEX($P$36:$P$424,$O$2+1)</f>
        <v>-10.186326370998298</v>
      </c>
      <c r="P19" s="127">
        <f>IF(O19&lt;&gt;0,O19*$E$2,"")</f>
        <v>-385705.45176437794</v>
      </c>
      <c r="Q19" s="7"/>
    </row>
    <row r="20" spans="1:22" x14ac:dyDescent="0.25">
      <c r="E20" s="17"/>
      <c r="G20" s="34"/>
      <c r="H20" s="45" t="s">
        <v>45</v>
      </c>
      <c r="I20" s="51"/>
      <c r="J20" s="75">
        <f>IF(J19&lt;&gt;0,J7*10.5/valor_compra,0)</f>
        <v>4.4680851063829789E-2</v>
      </c>
      <c r="K20" s="65"/>
      <c r="M20" s="55" t="s">
        <v>78</v>
      </c>
      <c r="N20" s="57"/>
      <c r="O20" s="128" cm="1">
        <f t="array" ref="O20">INDEX($S$36:$S$424,$O$2+1)</f>
        <v>-212.77285302908058</v>
      </c>
      <c r="P20" s="118">
        <f>IF(O20&lt;&gt;0,O20*$E$2,"")</f>
        <v>-8056648.3354031956</v>
      </c>
      <c r="Q20" s="7"/>
      <c r="R20" s="7"/>
      <c r="S20" s="7"/>
    </row>
    <row r="21" spans="1:22" x14ac:dyDescent="0.25">
      <c r="B21" s="46" t="s">
        <v>27</v>
      </c>
      <c r="C21" s="52"/>
      <c r="D21" s="52"/>
      <c r="E21" s="25">
        <f>IF(B21="Sin Gastos",0,SUM(E22:E27))</f>
        <v>57.24</v>
      </c>
      <c r="F21" s="3">
        <f>IF(E21&lt;&gt;0,E21*$E$2,"")</f>
        <v>2167393.7448</v>
      </c>
      <c r="G21" s="34"/>
      <c r="M21" s="11" t="s">
        <v>79</v>
      </c>
      <c r="N21" s="58"/>
      <c r="O21" s="129" cm="1">
        <f t="array" ref="O21">INDEX($R$36:$R$424,$O$2+1)</f>
        <v>-0.15586943018283034</v>
      </c>
      <c r="P21" s="125"/>
      <c r="Q21" s="7"/>
      <c r="R21" s="7"/>
      <c r="S21" s="7"/>
    </row>
    <row r="22" spans="1:22" x14ac:dyDescent="0.25">
      <c r="B22" s="47" t="s">
        <v>20</v>
      </c>
      <c r="C22" s="53"/>
      <c r="D22" s="53"/>
      <c r="E22" s="30">
        <v>3</v>
      </c>
      <c r="F22" s="9">
        <f>IF(E22&lt;&gt;0,E22*$E$2,"")</f>
        <v>113595.06</v>
      </c>
      <c r="G22" s="34"/>
      <c r="H22" s="46" t="s">
        <v>14</v>
      </c>
      <c r="I22" s="136"/>
      <c r="J22" s="144" t="s">
        <v>16</v>
      </c>
      <c r="K22" s="37"/>
      <c r="Q22" s="7"/>
      <c r="R22" s="7"/>
      <c r="S22" s="7"/>
    </row>
    <row r="23" spans="1:22" x14ac:dyDescent="0.25">
      <c r="A23" t="s">
        <v>54</v>
      </c>
      <c r="B23" s="47" t="s">
        <v>21</v>
      </c>
      <c r="C23" s="53"/>
      <c r="D23" s="53"/>
      <c r="E23" s="30">
        <v>4.2</v>
      </c>
      <c r="F23" s="9">
        <f>IF(E23&lt;&gt;0,E23*$E$2,"")</f>
        <v>159033.084</v>
      </c>
      <c r="G23" s="34"/>
      <c r="H23" s="137" t="s">
        <v>26</v>
      </c>
      <c r="I23" s="138"/>
      <c r="J23" s="145" t="b">
        <v>1</v>
      </c>
      <c r="K23" s="64"/>
      <c r="Q23" s="7"/>
      <c r="R23" s="7"/>
      <c r="S23" s="7"/>
    </row>
    <row r="24" spans="1:22" x14ac:dyDescent="0.25">
      <c r="B24" s="47" t="s">
        <v>22</v>
      </c>
      <c r="C24" s="53"/>
      <c r="D24" s="53"/>
      <c r="E24" s="30">
        <v>3.3</v>
      </c>
      <c r="F24" s="9">
        <f>IF(E24&lt;&gt;0,E24*$E$2,"")</f>
        <v>124954.56599999998</v>
      </c>
      <c r="G24" s="34"/>
      <c r="H24" s="137" t="s">
        <v>55</v>
      </c>
      <c r="I24" s="138"/>
      <c r="J24" s="145" t="b">
        <v>0</v>
      </c>
      <c r="K24" s="64"/>
      <c r="Q24" s="7"/>
      <c r="R24" s="7"/>
      <c r="S24" s="7"/>
    </row>
    <row r="25" spans="1:22" x14ac:dyDescent="0.25">
      <c r="B25" s="47" t="s">
        <v>23</v>
      </c>
      <c r="C25" s="53"/>
      <c r="D25" s="53"/>
      <c r="E25" s="30">
        <v>3.5</v>
      </c>
      <c r="F25" s="9">
        <f>IF(E25&lt;&gt;0,E25*$E$2,"")</f>
        <v>132527.56999999998</v>
      </c>
      <c r="G25" s="34"/>
      <c r="H25" s="137" t="s">
        <v>15</v>
      </c>
      <c r="I25" s="138"/>
      <c r="J25" s="145">
        <v>75</v>
      </c>
      <c r="K25" s="64"/>
      <c r="Q25" s="7"/>
      <c r="R25" s="7"/>
      <c r="S25" s="7"/>
    </row>
    <row r="26" spans="1:22" x14ac:dyDescent="0.25">
      <c r="B26" s="47" t="s">
        <v>24</v>
      </c>
      <c r="C26" s="53"/>
      <c r="D26" s="53"/>
      <c r="E26" s="30">
        <f>0.2%*valor_compra*IF(AND(J23,J24),0.5,1)</f>
        <v>9.4</v>
      </c>
      <c r="F26" s="9">
        <f>IF(E26&lt;&gt;0,E26*$E$2,"")</f>
        <v>355931.18799999997</v>
      </c>
      <c r="G26" s="34"/>
      <c r="H26" s="48" t="s">
        <v>43</v>
      </c>
      <c r="I26" s="89"/>
      <c r="J26" s="146">
        <f>E7/J25</f>
        <v>62.666666666666664</v>
      </c>
      <c r="K26" s="65"/>
      <c r="Q26" s="7"/>
      <c r="R26" s="7"/>
      <c r="S26" s="7"/>
    </row>
    <row r="27" spans="1:22" x14ac:dyDescent="0.25">
      <c r="B27" s="47" t="s">
        <v>25</v>
      </c>
      <c r="C27" s="53"/>
      <c r="D27" s="53"/>
      <c r="E27" s="30">
        <f>P0*IF(AND(J23,J24),0.2%,0.8%)</f>
        <v>33.840000000000003</v>
      </c>
      <c r="F27" s="9">
        <f>IF(E27&lt;&gt;0,E27*$E$2,"")</f>
        <v>1281352.2768000001</v>
      </c>
      <c r="G27" s="34"/>
      <c r="Q27" s="7"/>
      <c r="R27" s="7"/>
      <c r="S27" s="7"/>
    </row>
    <row r="28" spans="1:22" x14ac:dyDescent="0.25">
      <c r="B28" s="48" t="s">
        <v>7</v>
      </c>
      <c r="C28" s="54"/>
      <c r="D28" s="89"/>
      <c r="E28" s="23">
        <f>IF(B28="Comision 2%",valor_compra*2%,IF(B28="Comision 1%", valor_compra*1%,0))</f>
        <v>94</v>
      </c>
      <c r="F28" s="2">
        <f>IF(E28&lt;&gt;0,E28*$E$2,"")</f>
        <v>3559311.88</v>
      </c>
      <c r="G28" s="13"/>
      <c r="H28" s="4" t="s">
        <v>90</v>
      </c>
      <c r="I28" s="5"/>
      <c r="J28" s="142">
        <f>SUMPRODUCT(G7:G14,J7:J14)</f>
        <v>2.6666666666666661</v>
      </c>
      <c r="K28" s="143">
        <f t="shared" ref="K28:K29" si="5">IF(J28&lt;&gt;0,J28*$E$2,"")</f>
        <v>100973.38666666663</v>
      </c>
      <c r="Q28" s="7"/>
      <c r="R28" s="7"/>
      <c r="S28" s="7"/>
    </row>
    <row r="29" spans="1:22" x14ac:dyDescent="0.25">
      <c r="F29" s="13"/>
      <c r="G29" s="35"/>
      <c r="Q29" s="7"/>
      <c r="R29" s="7"/>
      <c r="S29" s="7"/>
      <c r="V29" s="79"/>
    </row>
    <row r="30" spans="1:22" x14ac:dyDescent="0.25">
      <c r="B30" s="4" t="s">
        <v>13</v>
      </c>
      <c r="C30" s="6"/>
      <c r="D30" s="6"/>
      <c r="E30" s="27">
        <f>E8+E21+E28</f>
        <v>621.24</v>
      </c>
      <c r="F30" s="14">
        <f t="shared" ref="F30" si="6">E30*$E$2</f>
        <v>23523265.024799999</v>
      </c>
      <c r="Q30" s="7"/>
      <c r="R30" s="7"/>
      <c r="S30" s="7"/>
    </row>
    <row r="31" spans="1:22" x14ac:dyDescent="0.25">
      <c r="H31" s="31"/>
      <c r="Q31" s="7"/>
      <c r="R31" s="7"/>
      <c r="S31" s="7"/>
    </row>
    <row r="32" spans="1:22" x14ac:dyDescent="0.25">
      <c r="Q32" s="7"/>
      <c r="R32" s="7"/>
      <c r="S32" s="7"/>
    </row>
    <row r="34" spans="1:26" x14ac:dyDescent="0.25">
      <c r="C34" s="108" t="s">
        <v>67</v>
      </c>
      <c r="D34" s="108"/>
      <c r="E34" s="108"/>
      <c r="F34" s="101" t="s">
        <v>60</v>
      </c>
      <c r="G34" s="101"/>
      <c r="H34" s="101"/>
      <c r="I34" s="101"/>
      <c r="J34" s="101"/>
      <c r="K34" s="102" t="s">
        <v>61</v>
      </c>
      <c r="L34" s="102"/>
      <c r="M34" s="102"/>
      <c r="N34" s="102"/>
      <c r="O34" s="102"/>
      <c r="P34" s="103" t="s">
        <v>62</v>
      </c>
      <c r="Q34" s="103"/>
      <c r="R34" s="103"/>
      <c r="S34" s="103"/>
      <c r="T34" s="104" t="s">
        <v>59</v>
      </c>
      <c r="U34" s="104"/>
      <c r="V34" s="104"/>
      <c r="W34" s="104"/>
      <c r="X34" s="79"/>
    </row>
    <row r="35" spans="1:26" x14ac:dyDescent="0.25">
      <c r="B35" s="1" t="s">
        <v>0</v>
      </c>
      <c r="C35" s="1" t="s">
        <v>65</v>
      </c>
      <c r="D35" s="1" t="s">
        <v>66</v>
      </c>
      <c r="E35" s="82" t="s">
        <v>64</v>
      </c>
      <c r="F35" s="1" t="s">
        <v>1</v>
      </c>
      <c r="G35" s="1" t="s">
        <v>68</v>
      </c>
      <c r="H35" s="1" t="s">
        <v>30</v>
      </c>
      <c r="I35" s="1" t="s">
        <v>41</v>
      </c>
      <c r="J35" s="1" t="s">
        <v>42</v>
      </c>
      <c r="K35" s="1" t="s">
        <v>5</v>
      </c>
      <c r="L35" s="1" t="s">
        <v>17</v>
      </c>
      <c r="M35" s="1" t="s">
        <v>47</v>
      </c>
      <c r="N35" s="1" t="s">
        <v>48</v>
      </c>
      <c r="O35" s="1" t="s">
        <v>4</v>
      </c>
      <c r="P35" s="1" t="s">
        <v>49</v>
      </c>
      <c r="Q35" s="1" t="s">
        <v>50</v>
      </c>
      <c r="R35" s="1" t="s">
        <v>58</v>
      </c>
      <c r="S35" s="1" t="s">
        <v>63</v>
      </c>
      <c r="T35" s="1" t="s">
        <v>77</v>
      </c>
      <c r="U35" s="1" t="s">
        <v>59</v>
      </c>
      <c r="V35" s="1" t="s">
        <v>18</v>
      </c>
      <c r="W35" s="1" t="s">
        <v>52</v>
      </c>
      <c r="Y35" s="79"/>
      <c r="Z35" s="79"/>
    </row>
    <row r="36" spans="1:26" x14ac:dyDescent="0.25">
      <c r="B36">
        <v>0</v>
      </c>
      <c r="C36" s="105">
        <f>(1+$E$3/360)^30-1-((1+$E$4)^(1/12)-1)</f>
        <v>3.9789301544717048E-3</v>
      </c>
      <c r="D36" s="107">
        <v>1</v>
      </c>
      <c r="E36" s="60">
        <f>rate</f>
        <v>3.5145930840192463E-3</v>
      </c>
      <c r="I36" s="61">
        <f>IF(L2&lt;&gt;1,-pie,0)</f>
        <v>-470</v>
      </c>
      <c r="J36" s="61">
        <f>IF(L2&lt;&gt;1,-P0,0)</f>
        <v>-4230</v>
      </c>
      <c r="K36" s="61">
        <f>IF(L2&lt;&gt;1,valor_compra,0)</f>
        <v>4700</v>
      </c>
      <c r="M36" s="31"/>
      <c r="N36" s="61"/>
      <c r="O36" s="31">
        <f>IF(L2&lt;&gt;1,-E21-E28,-J7)</f>
        <v>-151.24</v>
      </c>
      <c r="P36" s="31">
        <f>O36+N36+M36+L36+I36+F36</f>
        <v>-621.24</v>
      </c>
      <c r="Q36" s="31">
        <f>SUM($P$36:P36)</f>
        <v>-621.24</v>
      </c>
      <c r="R36" s="31"/>
      <c r="S36" s="31">
        <f>SUMPRODUCT($P$36:P36,$D$36:D36)/D36-Q36</f>
        <v>0</v>
      </c>
      <c r="T36" s="31">
        <f>Q36+J36+K36</f>
        <v>-151.23999999999978</v>
      </c>
      <c r="U36" s="31">
        <f>IF($L$2&lt;&gt;1,T36+$E$30,T36)</f>
        <v>470.00000000000023</v>
      </c>
      <c r="Y36" s="84"/>
      <c r="Z36" s="79"/>
    </row>
    <row r="37" spans="1:26" x14ac:dyDescent="0.25">
      <c r="B37">
        <v>1</v>
      </c>
      <c r="C37" s="105">
        <f t="shared" ref="C37:C100" si="7">(1+$E$3/360)^30-1-((1+$E$4)^(1/12)-1)</f>
        <v>3.9789301544717048E-3</v>
      </c>
      <c r="D37" s="106">
        <f>D36/(1+C37)</f>
        <v>0.99603683898639239</v>
      </c>
      <c r="E37" s="60">
        <f>rate</f>
        <v>3.5145930840192463E-3</v>
      </c>
      <c r="F37" s="31">
        <f>IF(AND(B36&gt;=gracia,12*años+gracia-B36&gt;0,$L$2&lt;&gt;1),PMT(E36,12*años-B36+gracia,-J36),0)</f>
        <v>0</v>
      </c>
      <c r="G37" s="31">
        <f>IF(AND(12*años+gracia-B36&gt;0,$L$2&lt;&gt;1),J36*E37,0)</f>
        <v>-14.866728745401412</v>
      </c>
      <c r="H37" s="31">
        <f>IF(AND(12*años+gracia-B36&gt;0,$L$2&lt;&gt;1),F37-G37,0)</f>
        <v>14.866728745401412</v>
      </c>
      <c r="I37" s="62"/>
      <c r="J37" s="61">
        <f>J36-H37-I37</f>
        <v>-4244.8667287454018</v>
      </c>
      <c r="K37" s="61">
        <f>K36*(1+$J$17)^(1/12)</f>
        <v>4722.8774876571124</v>
      </c>
      <c r="L37" s="31">
        <f>IF($L$2=3,$J$7*$J$16,0)</f>
        <v>16</v>
      </c>
      <c r="M37" s="31">
        <f>-$J$28</f>
        <v>-2.6666666666666661</v>
      </c>
      <c r="N37" s="31">
        <f>IF($L$2&lt;&gt;1,-$E$17-$E$18,0)</f>
        <v>-2.35</v>
      </c>
      <c r="O37" s="62"/>
      <c r="P37" s="31">
        <f>O37+N37+M37+L37+I37+F37</f>
        <v>10.983333333333334</v>
      </c>
      <c r="Q37" s="31">
        <f>SUM($P$36:P37)</f>
        <v>-610.25666666666666</v>
      </c>
      <c r="R37" s="83">
        <f>IF($L$2&lt;&gt;1,-(Q37-$Q$36)/B37*12/$P$36,0)</f>
        <v>0.21215633249629801</v>
      </c>
      <c r="S37" s="31">
        <f>SUMPRODUCT($P$36:P37,$D$36:D37)/D37-Q37</f>
        <v>-2.4718705691640253</v>
      </c>
      <c r="T37" s="31">
        <f t="shared" ref="T37:T100" si="8">Q37+J37+K37</f>
        <v>-132.24590775495653</v>
      </c>
      <c r="U37" s="31">
        <f t="shared" ref="U37:U100" si="9">IF($L$2&lt;&gt;1,T37+$E$30,T37)</f>
        <v>488.99409224504348</v>
      </c>
      <c r="V37" s="80" cm="1">
        <f t="array" ref="V37">IF($L$2&lt;&gt;1,IRR(IF(ROW($P$36:P37)=ROW(P37),P37+K37+J37,$P$36:P37),V36/12)*12,0)</f>
        <v>-2.5544892361397706</v>
      </c>
      <c r="W37" s="83">
        <f>(1+V37/12)^(B37)-1</f>
        <v>-0.21287410301164755</v>
      </c>
      <c r="X37" s="84"/>
    </row>
    <row r="38" spans="1:26" x14ac:dyDescent="0.25">
      <c r="B38">
        <v>2</v>
      </c>
      <c r="C38" s="105">
        <f t="shared" si="7"/>
        <v>3.9789301544717048E-3</v>
      </c>
      <c r="D38" s="106">
        <f t="shared" ref="D38:D101" si="10">D37/(1+C38)</f>
        <v>0.99208938461800455</v>
      </c>
      <c r="E38" s="60">
        <f>rate</f>
        <v>3.5145930840192463E-3</v>
      </c>
      <c r="F38" s="31">
        <f>IF(AND(B37&gt;=gracia,12*años+gracia-B37&gt;0,$L$2&lt;&gt;1),PMT(E37,12*años-B37+gracia,-J37),0)</f>
        <v>0</v>
      </c>
      <c r="G38" s="31">
        <f>IF(AND(12*años+gracia-B37&gt;0,$L$2&lt;&gt;1),J37*E38,0)</f>
        <v>-14.918979247431992</v>
      </c>
      <c r="H38" s="31">
        <f>IF(AND(12*años+gracia-B37&gt;0,$L$2&lt;&gt;1),F38-G38,0)</f>
        <v>14.918979247431992</v>
      </c>
      <c r="I38" s="62"/>
      <c r="J38" s="61">
        <f>J37-H38-I38</f>
        <v>-4259.7857079928335</v>
      </c>
      <c r="K38" s="61">
        <f>K37*(1+$J$17)^(1/12)</f>
        <v>4745.8663326422038</v>
      </c>
      <c r="L38" s="31">
        <f t="shared" ref="L38:L101" si="11">IF($L$2=3,$J$7*$J$16,0)</f>
        <v>16</v>
      </c>
      <c r="M38" s="31">
        <f t="shared" ref="M38:M101" si="12">-$J$28</f>
        <v>-2.6666666666666661</v>
      </c>
      <c r="N38" s="31">
        <f t="shared" ref="N38:N101" si="13">IF($L$2&lt;&gt;1,-$E$17-$E$18,0)</f>
        <v>-2.35</v>
      </c>
      <c r="O38" s="62"/>
      <c r="P38" s="31">
        <f>O38+N38+M38+L38+I38+F38</f>
        <v>10.983333333333334</v>
      </c>
      <c r="Q38" s="31">
        <f>SUM($P$36:P38)</f>
        <v>-599.27333333333331</v>
      </c>
      <c r="R38" s="83">
        <f t="shared" ref="R38:R101" si="14">IF($L$2&lt;&gt;1,-(Q38-$Q$36)/B38*12/$P$36,0)</f>
        <v>0.21215633249629801</v>
      </c>
      <c r="S38" s="31">
        <f>SUMPRODUCT($P$36:P38,$D$36:D38)/D38-Q38</f>
        <v>-4.9098746224769911</v>
      </c>
      <c r="T38" s="31">
        <f t="shared" si="8"/>
        <v>-113.19270868396325</v>
      </c>
      <c r="U38" s="31">
        <f t="shared" si="9"/>
        <v>508.04729131603676</v>
      </c>
      <c r="V38" s="80" cm="1">
        <f t="array" ref="V38">IF($L$2&lt;&gt;1,IRR(IF(ROW($P$36:P38)=ROW(P38),P38+K38+J38,$P$36:P38),V37/12)*12,0)</f>
        <v>-1.1594944135203566</v>
      </c>
      <c r="W38" s="83">
        <f>(1+V38/12)^(B38)-1</f>
        <v>-0.18391276826044201</v>
      </c>
    </row>
    <row r="39" spans="1:26" x14ac:dyDescent="0.25">
      <c r="B39">
        <v>3</v>
      </c>
      <c r="C39" s="105">
        <f t="shared" si="7"/>
        <v>3.9789301544717048E-3</v>
      </c>
      <c r="D39" s="106">
        <f t="shared" si="10"/>
        <v>0.98815757464687248</v>
      </c>
      <c r="E39" s="60">
        <f>rate</f>
        <v>3.5145930840192463E-3</v>
      </c>
      <c r="F39" s="31">
        <f>IF(AND(B38&gt;=gracia,12*años+gracia-B38&gt;0,$L$2&lt;&gt;1),PMT(E38,12*años-B38+gracia,-J38),0)</f>
        <v>0</v>
      </c>
      <c r="G39" s="31">
        <f>IF(AND(12*años+gracia-B38&gt;0,$L$2&lt;&gt;1),J38*E39,0)</f>
        <v>-14.971413388715641</v>
      </c>
      <c r="H39" s="31">
        <f>IF(AND(12*años+gracia-B38&gt;0,$L$2&lt;&gt;1),F39-G39,0)</f>
        <v>14.971413388715641</v>
      </c>
      <c r="I39" s="62"/>
      <c r="J39" s="61">
        <f>J38-H39-I39</f>
        <v>-4274.757121381549</v>
      </c>
      <c r="K39" s="61">
        <f>K38*(1+$J$17)^(1/12)</f>
        <v>4768.9670769926988</v>
      </c>
      <c r="L39" s="31">
        <f t="shared" si="11"/>
        <v>16</v>
      </c>
      <c r="M39" s="31">
        <f t="shared" si="12"/>
        <v>-2.6666666666666661</v>
      </c>
      <c r="N39" s="31">
        <f t="shared" si="13"/>
        <v>-2.35</v>
      </c>
      <c r="O39" s="62"/>
      <c r="P39" s="31">
        <f>O39+N39+M39+L39+I39+F39</f>
        <v>10.983333333333334</v>
      </c>
      <c r="Q39" s="31">
        <f>SUM($P$36:P39)</f>
        <v>-588.29</v>
      </c>
      <c r="R39" s="83">
        <f t="shared" si="14"/>
        <v>0.21215633249629801</v>
      </c>
      <c r="S39" s="31">
        <f>SUMPRODUCT($P$36:P39,$D$36:D39)/D39-Q39</f>
        <v>-7.3138774074378716</v>
      </c>
      <c r="T39" s="31">
        <f t="shared" si="8"/>
        <v>-94.080044388850183</v>
      </c>
      <c r="U39" s="31">
        <f t="shared" si="9"/>
        <v>527.15995561114983</v>
      </c>
      <c r="V39" s="80" cm="1">
        <f t="array" ref="V39">IF($L$2&lt;&gt;1,IRR(IF(ROW($P$36:P39)=ROW(P39),P39+K39+J39,$P$36:P39),V38/12)*12,0)</f>
        <v>-0.65183887024889309</v>
      </c>
      <c r="W39" s="83">
        <f>(1+V39/12)^(B39)-1</f>
        <v>-0.15426804019442764</v>
      </c>
    </row>
    <row r="40" spans="1:26" x14ac:dyDescent="0.25">
      <c r="B40">
        <v>4</v>
      </c>
      <c r="C40" s="105">
        <f t="shared" si="7"/>
        <v>3.9789301544717048E-3</v>
      </c>
      <c r="D40" s="106">
        <f t="shared" si="10"/>
        <v>0.98424134707173094</v>
      </c>
      <c r="E40" s="60">
        <f>rate</f>
        <v>3.5145930840192463E-3</v>
      </c>
      <c r="F40" s="31">
        <f>IF(AND(B39&gt;=gracia,12*años+gracia-B39&gt;0,$L$2&lt;&gt;1),PMT(E39,12*años-B39+gracia,-J39),0)</f>
        <v>0</v>
      </c>
      <c r="G40" s="31">
        <f>IF(AND(12*años+gracia-B39&gt;0,$L$2&lt;&gt;1),J39*E40,0)</f>
        <v>-15.024031814669614</v>
      </c>
      <c r="H40" s="31">
        <f>IF(AND(12*años+gracia-B39&gt;0,$L$2&lt;&gt;1),F40-G40,0)</f>
        <v>15.024031814669614</v>
      </c>
      <c r="I40" s="62"/>
      <c r="J40" s="61">
        <f>J39-H40-I40</f>
        <v>-4289.7811531962188</v>
      </c>
      <c r="K40" s="61">
        <f>K39*(1+$J$17)^(1/12)</f>
        <v>4792.180265384417</v>
      </c>
      <c r="L40" s="31">
        <f t="shared" si="11"/>
        <v>16</v>
      </c>
      <c r="M40" s="31">
        <f t="shared" si="12"/>
        <v>-2.6666666666666661</v>
      </c>
      <c r="N40" s="31">
        <f t="shared" si="13"/>
        <v>-2.35</v>
      </c>
      <c r="O40" s="62"/>
      <c r="P40" s="31">
        <f>O40+N40+M40+L40+I40+F40</f>
        <v>10.983333333333334</v>
      </c>
      <c r="Q40" s="31">
        <f>SUM($P$36:P40)</f>
        <v>-577.30666666666662</v>
      </c>
      <c r="R40" s="83">
        <f t="shared" si="14"/>
        <v>0.21215633249629801</v>
      </c>
      <c r="S40" s="31">
        <f>SUMPRODUCT($P$36:P40,$D$36:D40)/D40-Q40</f>
        <v>-9.6837436353746398</v>
      </c>
      <c r="T40" s="31">
        <f t="shared" si="8"/>
        <v>-74.907554478468228</v>
      </c>
      <c r="U40" s="31">
        <f t="shared" si="9"/>
        <v>546.33244552153178</v>
      </c>
      <c r="V40" s="80" cm="1">
        <f t="array" ref="V40">IF($L$2&lt;&gt;1,IRR(IF(ROW($P$36:P40)=ROW(P40),P40+K40+J40,$P$36:P40),V39/12)*12,0)</f>
        <v>-0.39051887109862138</v>
      </c>
      <c r="W40" s="83">
        <f>(1+V40/12)^(B40)-1</f>
        <v>-0.1239553221782338</v>
      </c>
    </row>
    <row r="41" spans="1:26" x14ac:dyDescent="0.25">
      <c r="B41">
        <v>5</v>
      </c>
      <c r="C41" s="105">
        <f t="shared" si="7"/>
        <v>3.9789301544717048E-3</v>
      </c>
      <c r="D41" s="106">
        <f t="shared" si="10"/>
        <v>0.98034064013703559</v>
      </c>
      <c r="E41" s="60">
        <f>rate</f>
        <v>3.5145930840192463E-3</v>
      </c>
      <c r="F41" s="31">
        <f>IF(AND(B40&gt;=gracia,12*años+gracia-B40&gt;0,$L$2&lt;&gt;1),PMT(E40,12*años-B40+gracia,-J40),0)</f>
        <v>0</v>
      </c>
      <c r="G41" s="31">
        <f>IF(AND(12*años+gracia-B40&gt;0,$L$2&lt;&gt;1),J40*E41,0)</f>
        <v>-15.076835172979537</v>
      </c>
      <c r="H41" s="31">
        <f>IF(AND(12*años+gracia-B40&gt;0,$L$2&lt;&gt;1),F41-G41,0)</f>
        <v>15.076835172979537</v>
      </c>
      <c r="I41" s="62"/>
      <c r="J41" s="61">
        <f>J40-H41-I41</f>
        <v>-4304.8579883691982</v>
      </c>
      <c r="K41" s="61">
        <f>K40*(1+$J$17)^(1/12)</f>
        <v>4815.506445144415</v>
      </c>
      <c r="L41" s="31">
        <f t="shared" si="11"/>
        <v>16</v>
      </c>
      <c r="M41" s="31">
        <f t="shared" si="12"/>
        <v>-2.6666666666666661</v>
      </c>
      <c r="N41" s="31">
        <f t="shared" si="13"/>
        <v>-2.35</v>
      </c>
      <c r="O41" s="62"/>
      <c r="P41" s="31">
        <f>O41+N41+M41+L41+I41+F41</f>
        <v>10.983333333333334</v>
      </c>
      <c r="Q41" s="31">
        <f>SUM($P$36:P41)</f>
        <v>-566.32333333333327</v>
      </c>
      <c r="R41" s="83">
        <f t="shared" si="14"/>
        <v>0.21215633249629801</v>
      </c>
      <c r="S41" s="31">
        <f>SUMPRODUCT($P$36:P41,$D$36:D41)/D41-Q41</f>
        <v>-12.019337479311162</v>
      </c>
      <c r="T41" s="31">
        <f t="shared" si="8"/>
        <v>-55.674876558116921</v>
      </c>
      <c r="U41" s="31">
        <f t="shared" si="9"/>
        <v>565.56512344188309</v>
      </c>
      <c r="V41" s="80" cm="1">
        <f t="array" ref="V41">IF($L$2&lt;&gt;1,IRR(IF(ROW($P$36:P41)=ROW(P41),P41+K41+J41,$P$36:P41),V40/12)*12,0)</f>
        <v>-0.23192220146156428</v>
      </c>
      <c r="W41" s="83">
        <f>(1+V41/12)^(B41)-1</f>
        <v>-9.2970475366274119E-2</v>
      </c>
      <c r="X41" s="81"/>
      <c r="Y41" s="81"/>
    </row>
    <row r="42" spans="1:26" x14ac:dyDescent="0.25">
      <c r="B42">
        <v>6</v>
      </c>
      <c r="C42" s="105">
        <f t="shared" si="7"/>
        <v>3.9789301544717048E-3</v>
      </c>
      <c r="D42" s="106">
        <f t="shared" si="10"/>
        <v>0.9764553923319893</v>
      </c>
      <c r="E42" s="60">
        <f>rate</f>
        <v>3.5145930840192463E-3</v>
      </c>
      <c r="F42" s="31">
        <f>IF(AND(B41&gt;=gracia,12*años+gracia-B41&gt;0,$L$2&lt;&gt;1),PMT(E41,12*años-B41+gracia,-J41),0)</f>
        <v>0</v>
      </c>
      <c r="G42" s="31">
        <f>IF(AND(12*años+gracia-B41&gt;0,$L$2&lt;&gt;1),J41*E42,0)</f>
        <v>-15.129824113607389</v>
      </c>
      <c r="H42" s="31">
        <f>IF(AND(12*años+gracia-B41&gt;0,$L$2&lt;&gt;1),F42-G42,0)</f>
        <v>15.129824113607389</v>
      </c>
      <c r="I42" s="62"/>
      <c r="J42" s="61">
        <f>J41-H42-I42</f>
        <v>-4319.9878124828056</v>
      </c>
      <c r="K42" s="61">
        <f>K41*(1+$J$17)^(1/12)</f>
        <v>4838.9461662638905</v>
      </c>
      <c r="L42" s="31">
        <f t="shared" si="11"/>
        <v>16</v>
      </c>
      <c r="M42" s="31">
        <f t="shared" si="12"/>
        <v>-2.6666666666666661</v>
      </c>
      <c r="N42" s="31">
        <f t="shared" si="13"/>
        <v>-2.35</v>
      </c>
      <c r="O42" s="62"/>
      <c r="P42" s="31">
        <f>O42+N42+M42+L42+I42+F42</f>
        <v>10.983333333333334</v>
      </c>
      <c r="Q42" s="31">
        <f>SUM($P$36:P42)</f>
        <v>-555.33999999999992</v>
      </c>
      <c r="R42" s="83">
        <f t="shared" si="14"/>
        <v>0.21215633249629801</v>
      </c>
      <c r="S42" s="31">
        <f>SUMPRODUCT($P$36:P42,$D$36:D42)/D42-Q42</f>
        <v>-14.320522571825336</v>
      </c>
      <c r="T42" s="31">
        <f t="shared" si="8"/>
        <v>-36.381646218915193</v>
      </c>
      <c r="U42" s="31">
        <f t="shared" si="9"/>
        <v>584.85835378108482</v>
      </c>
      <c r="V42" s="80" cm="1">
        <f t="array" ref="V42">IF($L$2&lt;&gt;1,IRR(IF(ROW($P$36:P42)=ROW(P42),P42+K42+J42,$P$36:P42),V41/12)*12,0)</f>
        <v>-0.12586661722392201</v>
      </c>
      <c r="W42" s="83">
        <f>(1+V42/12)^(B42)-1</f>
        <v>-6.1305956312426524E-2</v>
      </c>
      <c r="X42" s="81"/>
      <c r="Y42" s="81"/>
    </row>
    <row r="43" spans="1:26" x14ac:dyDescent="0.25">
      <c r="B43">
        <v>7</v>
      </c>
      <c r="C43" s="105">
        <f t="shared" si="7"/>
        <v>3.9789301544717048E-3</v>
      </c>
      <c r="D43" s="106">
        <f t="shared" si="10"/>
        <v>0.97258554238957218</v>
      </c>
      <c r="E43" s="60">
        <f>rate</f>
        <v>3.5145930840192463E-3</v>
      </c>
      <c r="F43" s="31">
        <f>IF(AND(B42&gt;=gracia,12*años+gracia-B42&gt;0,$L$2&lt;&gt;1),PMT(E42,12*años-B42+gracia,-J42),0)</f>
        <v>-21.169659704331639</v>
      </c>
      <c r="G43" s="31">
        <f>IF(AND(12*años+gracia-B42&gt;0,$L$2&lt;&gt;1),J42*E43,0)</f>
        <v>-15.1829992887995</v>
      </c>
      <c r="H43" s="31">
        <f>IF(AND(12*años+gracia-B42&gt;0,$L$2&lt;&gt;1),F43-G43,0)</f>
        <v>-5.986660415532139</v>
      </c>
      <c r="I43" s="62"/>
      <c r="J43" s="61">
        <f>J42-H43-I43</f>
        <v>-4314.0011520672733</v>
      </c>
      <c r="K43" s="61">
        <f>K42*(1+$J$17)^(1/12)</f>
        <v>4862.4999814111525</v>
      </c>
      <c r="L43" s="31">
        <f t="shared" si="11"/>
        <v>16</v>
      </c>
      <c r="M43" s="31">
        <f t="shared" si="12"/>
        <v>-2.6666666666666661</v>
      </c>
      <c r="N43" s="31">
        <f t="shared" si="13"/>
        <v>-2.35</v>
      </c>
      <c r="O43" s="62"/>
      <c r="P43" s="31">
        <f>O43+N43+M43+L43+I43+F43</f>
        <v>-10.186326370998305</v>
      </c>
      <c r="Q43" s="31">
        <f>SUM($P$36:P43)</f>
        <v>-565.52632637099828</v>
      </c>
      <c r="R43" s="83">
        <f t="shared" si="14"/>
        <v>0.15373954476945206</v>
      </c>
      <c r="S43" s="31">
        <f>SUMPRODUCT($P$36:P43,$D$36:D43)/D43-Q43</f>
        <v>-16.587162002898367</v>
      </c>
      <c r="T43" s="31">
        <f t="shared" si="8"/>
        <v>-17.027497027119352</v>
      </c>
      <c r="U43" s="31">
        <f t="shared" si="9"/>
        <v>604.21250297288066</v>
      </c>
      <c r="V43" s="80" cm="1">
        <f t="array" ref="V43">IF($L$2&lt;&gt;1,IRR(IF(ROW($P$36:P43)=ROW(P43),P43+K43+J43,$P$36:P43),V42/12)*12,0)</f>
        <v>-5.0261088259665243E-2</v>
      </c>
      <c r="W43" s="83">
        <f>(1+V43/12)^(B43)-1</f>
        <v>-2.8953128293669028E-2</v>
      </c>
      <c r="X43" s="15"/>
      <c r="Y43" s="81"/>
    </row>
    <row r="44" spans="1:26" x14ac:dyDescent="0.25">
      <c r="B44">
        <v>8</v>
      </c>
      <c r="C44" s="105">
        <f t="shared" si="7"/>
        <v>3.9789301544717048E-3</v>
      </c>
      <c r="D44" s="106">
        <f t="shared" si="10"/>
        <v>0.96873102928557542</v>
      </c>
      <c r="E44" s="60">
        <f>rate</f>
        <v>3.5145930840192463E-3</v>
      </c>
      <c r="F44" s="31">
        <f>IF(AND(B43&gt;=gracia,12*años+gracia-B43&gt;0,$L$2&lt;&gt;1),PMT(E43,12*años-B43+gracia,-J43),0)</f>
        <v>-21.169659704331636</v>
      </c>
      <c r="G44" s="31">
        <f>IF(AND(12*años+gracia-B43&gt;0,$L$2&lt;&gt;1),J43*E44,0)</f>
        <v>-15.1619586135067</v>
      </c>
      <c r="H44" s="31">
        <f>IF(AND(12*años+gracia-B43&gt;0,$L$2&lt;&gt;1),F44-G44,0)</f>
        <v>-6.007701090824936</v>
      </c>
      <c r="I44" s="62"/>
      <c r="J44" s="61">
        <f>J43-H44-I44</f>
        <v>-4307.993450976448</v>
      </c>
      <c r="K44" s="61">
        <f>K43*(1+$J$17)^(1/12)</f>
        <v>4886.1684459446506</v>
      </c>
      <c r="L44" s="31">
        <f t="shared" si="11"/>
        <v>16</v>
      </c>
      <c r="M44" s="31">
        <f t="shared" si="12"/>
        <v>-2.6666666666666661</v>
      </c>
      <c r="N44" s="31">
        <f t="shared" si="13"/>
        <v>-2.35</v>
      </c>
      <c r="O44" s="62"/>
      <c r="P44" s="31">
        <f>O44+N44+M44+L44+I44+F44</f>
        <v>-10.186326370998302</v>
      </c>
      <c r="Q44" s="31">
        <f>SUM($P$36:P44)</f>
        <v>-575.71265274199664</v>
      </c>
      <c r="R44" s="83">
        <f t="shared" si="14"/>
        <v>0.10992695397431759</v>
      </c>
      <c r="S44" s="31">
        <f>SUMPRODUCT($P$36:P44,$D$36:D44)/D44-Q44</f>
        <v>-18.903350915113947</v>
      </c>
      <c r="T44" s="31">
        <f t="shared" si="8"/>
        <v>2.462342226205692</v>
      </c>
      <c r="U44" s="31">
        <f t="shared" si="9"/>
        <v>623.7023422262057</v>
      </c>
      <c r="V44" s="80" cm="1">
        <f t="array" ref="V44">IF($L$2&lt;&gt;1,IRR(IF(ROW($P$36:P44)=ROW(P44),P44+K44+J44,$P$36:P44),V43/12)*12,0)</f>
        <v>6.2970526754861922E-3</v>
      </c>
      <c r="W44" s="83">
        <f>(1+V44/12)^(B44)-1</f>
        <v>4.2057534950525888E-3</v>
      </c>
      <c r="X44" s="81"/>
      <c r="Y44" s="81"/>
    </row>
    <row r="45" spans="1:26" x14ac:dyDescent="0.25">
      <c r="B45">
        <v>9</v>
      </c>
      <c r="C45" s="105">
        <f t="shared" si="7"/>
        <v>3.9789301544717048E-3</v>
      </c>
      <c r="D45" s="106">
        <f t="shared" si="10"/>
        <v>0.96489179223763888</v>
      </c>
      <c r="E45" s="60">
        <f>rate</f>
        <v>3.5145930840192463E-3</v>
      </c>
      <c r="F45" s="31">
        <f>IF(AND(B44&gt;=gracia,12*años+gracia-B44&gt;0,$L$2&lt;&gt;1),PMT(E44,12*años-B44+gracia,-J44),0)</f>
        <v>-21.169659704331632</v>
      </c>
      <c r="G45" s="31">
        <f>IF(AND(12*años+gracia-B44&gt;0,$L$2&lt;&gt;1),J44*E45,0)</f>
        <v>-15.140843988802031</v>
      </c>
      <c r="H45" s="31">
        <f>IF(AND(12*años+gracia-B44&gt;0,$L$2&lt;&gt;1),F45-G45,0)</f>
        <v>-6.0288157155296016</v>
      </c>
      <c r="I45" s="62"/>
      <c r="J45" s="61">
        <f>J44-H45-I45</f>
        <v>-4301.9646352609188</v>
      </c>
      <c r="K45" s="61">
        <f>K44*(1+$J$17)^(1/12)</f>
        <v>4909.9521179260701</v>
      </c>
      <c r="L45" s="31">
        <f t="shared" si="11"/>
        <v>16</v>
      </c>
      <c r="M45" s="31">
        <f t="shared" si="12"/>
        <v>-2.6666666666666661</v>
      </c>
      <c r="N45" s="31">
        <f t="shared" si="13"/>
        <v>-2.35</v>
      </c>
      <c r="O45" s="62"/>
      <c r="P45" s="31">
        <f>O45+N45+M45+L45+I45+F45</f>
        <v>-10.186326370998298</v>
      </c>
      <c r="Q45" s="31">
        <f>SUM($P$36:P45)</f>
        <v>-585.89897911299488</v>
      </c>
      <c r="R45" s="83">
        <f t="shared" si="14"/>
        <v>7.585049446699102E-2</v>
      </c>
      <c r="S45" s="31">
        <f>SUMPRODUCT($P$36:P45,$D$36:D45)/D45-Q45</f>
        <v>-21.269286462396735</v>
      </c>
      <c r="T45" s="31">
        <f t="shared" si="8"/>
        <v>22.088503552155998</v>
      </c>
      <c r="U45" s="31">
        <f t="shared" si="9"/>
        <v>643.32850355215601</v>
      </c>
      <c r="V45" s="80" cm="1">
        <f t="array" ref="V45">IF($L$2&lt;&gt;1,IRR(IF(ROW($P$36:P45)=ROW(P45),P45+K45+J45,$P$36:P45),V44/12)*12,0)</f>
        <v>4.9555644391416465E-2</v>
      </c>
      <c r="W45" s="83">
        <f>(1+V45/12)^(B45)-1</f>
        <v>3.7786626383084609E-2</v>
      </c>
      <c r="X45" s="81"/>
      <c r="Y45" s="81"/>
    </row>
    <row r="46" spans="1:26" x14ac:dyDescent="0.25">
      <c r="B46">
        <v>10</v>
      </c>
      <c r="C46" s="105">
        <f t="shared" si="7"/>
        <v>3.9789301544717048E-3</v>
      </c>
      <c r="D46" s="106">
        <f t="shared" si="10"/>
        <v>0.96106777070429272</v>
      </c>
      <c r="E46" s="60">
        <f>rate</f>
        <v>3.5145930840192463E-3</v>
      </c>
      <c r="F46" s="31">
        <f>IF(AND(B45&gt;=gracia,12*años+gracia-B45&gt;0,$L$2&lt;&gt;1),PMT(E45,12*años-B45+gracia,-J45),0)</f>
        <v>-21.169659704331632</v>
      </c>
      <c r="G46" s="31">
        <f>IF(AND(12*años+gracia-B45&gt;0,$L$2&lt;&gt;1),J45*E46,0)</f>
        <v>-15.119655154783405</v>
      </c>
      <c r="H46" s="31">
        <f>IF(AND(12*años+gracia-B45&gt;0,$L$2&lt;&gt;1),F46-G46,0)</f>
        <v>-6.0500045495482269</v>
      </c>
      <c r="I46" s="62"/>
      <c r="J46" s="61">
        <f>J45-H46-I46</f>
        <v>-4295.9146307113706</v>
      </c>
      <c r="K46" s="61">
        <f>K45*(1+$J$17)^(1/12)</f>
        <v>4933.8515581334887</v>
      </c>
      <c r="L46" s="31">
        <f t="shared" si="11"/>
        <v>16</v>
      </c>
      <c r="M46" s="31">
        <f t="shared" si="12"/>
        <v>-2.6666666666666661</v>
      </c>
      <c r="N46" s="31">
        <f t="shared" si="13"/>
        <v>-2.35</v>
      </c>
      <c r="O46" s="62"/>
      <c r="P46" s="31">
        <f>O46+N46+M46+L46+I46+F46</f>
        <v>-10.186326370998298</v>
      </c>
      <c r="Q46" s="31">
        <f>SUM($P$36:P46)</f>
        <v>-596.08530548399312</v>
      </c>
      <c r="R46" s="83">
        <f t="shared" si="14"/>
        <v>4.8589326861129767E-2</v>
      </c>
      <c r="S46" s="31">
        <f>SUMPRODUCT($P$36:P46,$D$36:D46)/D46-Q46</f>
        <v>-23.685166583132968</v>
      </c>
      <c r="T46" s="31">
        <f t="shared" si="8"/>
        <v>41.85162193812539</v>
      </c>
      <c r="U46" s="31">
        <f t="shared" si="9"/>
        <v>663.0916219381254</v>
      </c>
      <c r="V46" s="80" cm="1">
        <f t="array" ref="V46">IF($L$2&lt;&gt;1,IRR(IF(ROW($P$36:P46)=ROW(P46),P46+K46+J46,$P$36:P46),V45/12)*12,0)</f>
        <v>8.3231149460620379E-2</v>
      </c>
      <c r="W46" s="83">
        <f>(1+V46/12)^(B46)-1</f>
        <v>7.1564641465617029E-2</v>
      </c>
      <c r="X46" s="81"/>
      <c r="Y46" s="81"/>
    </row>
    <row r="47" spans="1:26" x14ac:dyDescent="0.25">
      <c r="B47">
        <v>11</v>
      </c>
      <c r="C47" s="105">
        <f t="shared" si="7"/>
        <v>3.9789301544717048E-3</v>
      </c>
      <c r="D47" s="106">
        <f t="shared" si="10"/>
        <v>0.95725890438400263</v>
      </c>
      <c r="E47" s="60">
        <f>rate</f>
        <v>3.5145930840192463E-3</v>
      </c>
      <c r="F47" s="31">
        <f>IF(AND(B46&gt;=gracia,12*años+gracia-B46&gt;0,$L$2&lt;&gt;1),PMT(E46,12*años-B46+gracia,-J46),0)</f>
        <v>-21.169659704331636</v>
      </c>
      <c r="G47" s="31">
        <f>IF(AND(12*años+gracia-B46&gt;0,$L$2&lt;&gt;1),J46*E47,0)</f>
        <v>-15.098391850635277</v>
      </c>
      <c r="H47" s="31">
        <f>IF(AND(12*años+gracia-B46&gt;0,$L$2&lt;&gt;1),F47-G47,0)</f>
        <v>-6.0712678536963587</v>
      </c>
      <c r="I47" s="62"/>
      <c r="J47" s="61">
        <f>J46-H47-I47</f>
        <v>-4289.843362857674</v>
      </c>
      <c r="K47" s="61">
        <f>K46*(1+$J$17)^(1/12)</f>
        <v>4957.8673300746004</v>
      </c>
      <c r="L47" s="31">
        <f t="shared" si="11"/>
        <v>16</v>
      </c>
      <c r="M47" s="31">
        <f t="shared" si="12"/>
        <v>-2.6666666666666661</v>
      </c>
      <c r="N47" s="31">
        <f t="shared" si="13"/>
        <v>-2.35</v>
      </c>
      <c r="O47" s="62"/>
      <c r="P47" s="31">
        <f>O47+N47+M47+L47+I47+F47</f>
        <v>-10.186326370998302</v>
      </c>
      <c r="Q47" s="31">
        <f>SUM($P$36:P47)</f>
        <v>-606.27163185499148</v>
      </c>
      <c r="R47" s="83">
        <f t="shared" si="14"/>
        <v>2.6284735183606731E-2</v>
      </c>
      <c r="S47" s="31">
        <f>SUMPRODUCT($P$36:P47,$D$36:D47)/D47-Q47</f>
        <v>-26.151190003291958</v>
      </c>
      <c r="T47" s="31">
        <f t="shared" si="8"/>
        <v>61.752335361935366</v>
      </c>
      <c r="U47" s="31">
        <f t="shared" si="9"/>
        <v>682.99233536193537</v>
      </c>
      <c r="V47" s="80" cm="1">
        <f t="array" ref="V47">IF($L$2&lt;&gt;1,IRR(IF(ROW($P$36:P47)=ROW(P47),P47+K47+J47,$P$36:P47),V46/12)*12,0)</f>
        <v>0.10981864553566734</v>
      </c>
      <c r="W47" s="83">
        <f>(1+V47/12)^(B47)-1</f>
        <v>0.10540220233861342</v>
      </c>
      <c r="X47" s="81"/>
      <c r="Y47" s="81"/>
    </row>
    <row r="48" spans="1:26" x14ac:dyDescent="0.25">
      <c r="A48" s="109"/>
      <c r="B48">
        <v>12</v>
      </c>
      <c r="C48" s="105">
        <f t="shared" si="7"/>
        <v>3.9789301544717048E-3</v>
      </c>
      <c r="D48" s="106">
        <f t="shared" si="10"/>
        <v>0.95346513321421922</v>
      </c>
      <c r="E48" s="60">
        <f>rate</f>
        <v>3.5145930840192463E-3</v>
      </c>
      <c r="F48" s="31">
        <f>IF(AND(B47&gt;=gracia,12*años+gracia-B47&gt;0,$L$2&lt;&gt;1),PMT(E47,12*años-B47+gracia,-J47),0)</f>
        <v>-21.169659704331636</v>
      </c>
      <c r="G48" s="31">
        <f>IF(AND(12*años+gracia-B47&gt;0,$L$2&lt;&gt;1),J47*E48,0)</f>
        <v>-15.077053814625447</v>
      </c>
      <c r="H48" s="31">
        <f>IF(AND(12*años+gracia-B47&gt;0,$L$2&lt;&gt;1),F48-G48,0)</f>
        <v>-6.0926058897061885</v>
      </c>
      <c r="I48" s="62"/>
      <c r="J48" s="61">
        <f>J47-H48-I48</f>
        <v>-4283.7507569679683</v>
      </c>
      <c r="K48" s="61">
        <f>K47*(1+$J$17)^(1/12)</f>
        <v>4982.0000000000009</v>
      </c>
      <c r="L48" s="31">
        <f t="shared" si="11"/>
        <v>16</v>
      </c>
      <c r="M48" s="31">
        <f t="shared" si="12"/>
        <v>-2.6666666666666661</v>
      </c>
      <c r="N48" s="31">
        <f t="shared" si="13"/>
        <v>-2.35</v>
      </c>
      <c r="O48" s="62"/>
      <c r="P48" s="31">
        <f>O48+N48+M48+L48+I48+F48</f>
        <v>-10.186326370998302</v>
      </c>
      <c r="Q48" s="31">
        <f>SUM($P$36:P48)</f>
        <v>-616.45795822598984</v>
      </c>
      <c r="R48" s="83">
        <f t="shared" si="14"/>
        <v>7.6975754523375302E-3</v>
      </c>
      <c r="S48" s="31">
        <f>SUMPRODUCT($P$36:P48,$D$36:D48)/D48-Q48</f>
        <v>-28.667556239559872</v>
      </c>
      <c r="T48" s="31">
        <f t="shared" si="8"/>
        <v>81.791284806043222</v>
      </c>
      <c r="U48" s="31">
        <f t="shared" si="9"/>
        <v>703.03128480604323</v>
      </c>
      <c r="V48" s="80" cm="1">
        <f t="array" ref="V48">IF($L$2&lt;&gt;1,IRR(IF(ROW($P$36:P48)=ROW(P48),P48+K48+J48,$P$36:P48),V47/12)*12,0)</f>
        <v>0.13104756427418351</v>
      </c>
      <c r="W48" s="83">
        <f>(1+V48/12)^(B48)-1</f>
        <v>0.13921242746344897</v>
      </c>
      <c r="X48" s="81"/>
      <c r="Y48" s="81"/>
    </row>
    <row r="49" spans="2:25" x14ac:dyDescent="0.25">
      <c r="B49">
        <v>13</v>
      </c>
      <c r="C49" s="105">
        <f t="shared" si="7"/>
        <v>3.9789301544717048E-3</v>
      </c>
      <c r="D49" s="106">
        <f t="shared" si="10"/>
        <v>0.94968639737043037</v>
      </c>
      <c r="E49" s="60">
        <f>rate</f>
        <v>3.5145930840192463E-3</v>
      </c>
      <c r="F49" s="31">
        <f>IF(AND(B48&gt;=gracia,12*años+gracia-B48&gt;0,$L$2&lt;&gt;1),PMT(E48,12*años-B48+gracia,-J48),0)</f>
        <v>-21.169659704331639</v>
      </c>
      <c r="G49" s="31">
        <f>IF(AND(12*años+gracia-B48&gt;0,$L$2&lt;&gt;1),J48*E49,0)</f>
        <v>-15.055640784101833</v>
      </c>
      <c r="H49" s="31">
        <f>IF(AND(12*años+gracia-B48&gt;0,$L$2&lt;&gt;1),F49-G49,0)</f>
        <v>-6.1140189202298068</v>
      </c>
      <c r="I49" s="62"/>
      <c r="J49" s="61">
        <f>J48-H49-I49</f>
        <v>-4277.6367380477386</v>
      </c>
      <c r="K49" s="61">
        <f>K48*(1+$J$17)^(1/12)</f>
        <v>5006.2501369165402</v>
      </c>
      <c r="L49" s="31">
        <f t="shared" si="11"/>
        <v>16</v>
      </c>
      <c r="M49" s="31">
        <f t="shared" si="12"/>
        <v>-2.6666666666666661</v>
      </c>
      <c r="N49" s="31">
        <f t="shared" si="13"/>
        <v>-2.35</v>
      </c>
      <c r="O49" s="62"/>
      <c r="P49" s="31">
        <f>O49+N49+M49+L49+I49+F49</f>
        <v>-10.186326370998305</v>
      </c>
      <c r="Q49" s="31">
        <f>SUM($P$36:P49)</f>
        <v>-626.6442845969882</v>
      </c>
      <c r="R49" s="83">
        <f t="shared" si="14"/>
        <v>-8.0300212433517936E-3</v>
      </c>
      <c r="S49" s="31">
        <f>SUMPRODUCT($P$36:P49,$D$36:D49)/D49-Q49</f>
        <v>-31.234465602485898</v>
      </c>
      <c r="T49" s="31">
        <f t="shared" si="8"/>
        <v>101.96911427181294</v>
      </c>
      <c r="U49" s="31">
        <f t="shared" si="9"/>
        <v>723.20911427181295</v>
      </c>
      <c r="V49" s="80" cm="1">
        <f t="array" ref="V49">IF($L$2&lt;&gt;1,IRR(IF(ROW($P$36:P49)=ROW(P49),P49+K49+J49,$P$36:P49),V48/12)*12,0)</f>
        <v>0.14814969344873763</v>
      </c>
      <c r="W49" s="83">
        <f>(1+V49/12)^(B49)-1</f>
        <v>0.17293934301962022</v>
      </c>
      <c r="X49" s="81"/>
      <c r="Y49" s="81"/>
    </row>
    <row r="50" spans="2:25" x14ac:dyDescent="0.25">
      <c r="B50">
        <v>14</v>
      </c>
      <c r="C50" s="105">
        <f t="shared" si="7"/>
        <v>3.9789301544717048E-3</v>
      </c>
      <c r="D50" s="106">
        <f t="shared" si="10"/>
        <v>0.94592263726521841</v>
      </c>
      <c r="E50" s="60">
        <f>rate</f>
        <v>3.5145930840192463E-3</v>
      </c>
      <c r="F50" s="31">
        <f>IF(AND(B49&gt;=gracia,12*años+gracia-B49&gt;0,$L$2&lt;&gt;1),PMT(E49,12*años-B49+gracia,-J49),0)</f>
        <v>-21.169659704331636</v>
      </c>
      <c r="G50" s="31">
        <f>IF(AND(12*años+gracia-B49&gt;0,$L$2&lt;&gt;1),J49*E50,0)</f>
        <v>-15.034152495489231</v>
      </c>
      <c r="H50" s="31">
        <f>IF(AND(12*años+gracia-B49&gt;0,$L$2&lt;&gt;1),F50-G50,0)</f>
        <v>-6.1355072088424052</v>
      </c>
      <c r="I50" s="62"/>
      <c r="J50" s="61">
        <f>J49-H50-I50</f>
        <v>-4271.5012308388959</v>
      </c>
      <c r="K50" s="61">
        <f>K49*(1+$J$17)^(1/12)</f>
        <v>5030.6183126007372</v>
      </c>
      <c r="L50" s="31">
        <f t="shared" si="11"/>
        <v>16</v>
      </c>
      <c r="M50" s="31">
        <f t="shared" si="12"/>
        <v>-2.6666666666666661</v>
      </c>
      <c r="N50" s="31">
        <f t="shared" si="13"/>
        <v>-2.35</v>
      </c>
      <c r="O50" s="62"/>
      <c r="P50" s="31">
        <f>O50+N50+M50+L50+I50+F50</f>
        <v>-10.186326370998302</v>
      </c>
      <c r="Q50" s="31">
        <f>SUM($P$36:P50)</f>
        <v>-636.83061096798656</v>
      </c>
      <c r="R50" s="83">
        <f t="shared" si="14"/>
        <v>-2.1510818411085503E-2</v>
      </c>
      <c r="S50" s="31">
        <f>SUMPRODUCT($P$36:P50,$D$36:D50)/D50-Q50</f>
        <v>-33.852119199640697</v>
      </c>
      <c r="T50" s="31">
        <f t="shared" si="8"/>
        <v>122.28647079385428</v>
      </c>
      <c r="U50" s="31">
        <f t="shared" si="9"/>
        <v>743.52647079385429</v>
      </c>
      <c r="V50" s="80" cm="1">
        <f t="array" ref="V50">IF($L$2&lt;&gt;1,IRR(IF(ROW($P$36:P50)=ROW(P50),P50+K50+J50,$P$36:P50),V49/12)*12,0)</f>
        <v>0.16202308320683212</v>
      </c>
      <c r="W50" s="83">
        <f>(1+V50/12)^(B50)-1</f>
        <v>0.20654655046809389</v>
      </c>
    </row>
    <row r="51" spans="2:25" x14ac:dyDescent="0.25">
      <c r="B51">
        <v>15</v>
      </c>
      <c r="C51" s="105">
        <f t="shared" si="7"/>
        <v>3.9789301544717048E-3</v>
      </c>
      <c r="D51" s="106">
        <f t="shared" si="10"/>
        <v>0.94217379354732</v>
      </c>
      <c r="E51" s="60">
        <f>rate</f>
        <v>3.5145930840192463E-3</v>
      </c>
      <c r="F51" s="31">
        <f>IF(AND(B50&gt;=gracia,12*años+gracia-B50&gt;0,$L$2&lt;&gt;1),PMT(E50,12*años-B50+gracia,-J50),0)</f>
        <v>-21.169659704331636</v>
      </c>
      <c r="G51" s="31">
        <f>IF(AND(12*años+gracia-B50&gt;0,$L$2&lt;&gt;1),J50*E51,0)</f>
        <v>-15.012588684286081</v>
      </c>
      <c r="H51" s="31">
        <f>IF(AND(12*años+gracia-B50&gt;0,$L$2&lt;&gt;1),F51-G51,0)</f>
        <v>-6.1570710200455547</v>
      </c>
      <c r="I51" s="62"/>
      <c r="J51" s="61">
        <f>J50-H51-I51</f>
        <v>-4265.3441598188501</v>
      </c>
      <c r="K51" s="61">
        <f>K50*(1+$J$17)^(1/12)</f>
        <v>5055.1051016122619</v>
      </c>
      <c r="L51" s="31">
        <f t="shared" si="11"/>
        <v>16</v>
      </c>
      <c r="M51" s="31">
        <f t="shared" si="12"/>
        <v>-2.6666666666666661</v>
      </c>
      <c r="N51" s="31">
        <f t="shared" si="13"/>
        <v>-2.35</v>
      </c>
      <c r="O51" s="62"/>
      <c r="P51" s="31">
        <f>O51+N51+M51+L51+I51+F51</f>
        <v>-10.186326370998302</v>
      </c>
      <c r="Q51" s="31">
        <f>SUM($P$36:P51)</f>
        <v>-647.01693733898492</v>
      </c>
      <c r="R51" s="83">
        <f t="shared" si="14"/>
        <v>-3.3194175956454713E-2</v>
      </c>
      <c r="S51" s="31">
        <f>SUMPRODUCT($P$36:P51,$D$36:D51)/D51-Q51</f>
        <v>-36.520718938787923</v>
      </c>
      <c r="T51" s="31">
        <f t="shared" si="8"/>
        <v>142.74400445442734</v>
      </c>
      <c r="U51" s="31">
        <f t="shared" si="9"/>
        <v>763.98400445442735</v>
      </c>
      <c r="V51" s="80" cm="1">
        <f t="array" ref="V51">IF($L$2&lt;&gt;1,IRR(IF(ROW($P$36:P51)=ROW(P51),P51+K51+J51,$P$36:P51),V50/12)*12,0)</f>
        <v>0.17333580352064182</v>
      </c>
      <c r="W51" s="83">
        <f>(1+V51/12)^(B51)-1</f>
        <v>0.24001044482587774</v>
      </c>
    </row>
    <row r="52" spans="2:25" x14ac:dyDescent="0.25">
      <c r="B52">
        <v>16</v>
      </c>
      <c r="C52" s="105">
        <f t="shared" si="7"/>
        <v>3.9789301544717048E-3</v>
      </c>
      <c r="D52" s="106">
        <f t="shared" si="10"/>
        <v>0.93843980710069042</v>
      </c>
      <c r="E52" s="60">
        <f>rate</f>
        <v>3.5145930840192463E-3</v>
      </c>
      <c r="F52" s="31">
        <f>IF(AND(B51&gt;=gracia,12*años+gracia-B51&gt;0,$L$2&lt;&gt;1),PMT(E51,12*años-B51+gracia,-J51),0)</f>
        <v>-21.169659704331636</v>
      </c>
      <c r="G52" s="31">
        <f>IF(AND(12*años+gracia-B51&gt;0,$L$2&lt;&gt;1),J51*E52,0)</f>
        <v>-14.990949085061214</v>
      </c>
      <c r="H52" s="31">
        <f>IF(AND(12*años+gracia-B51&gt;0,$L$2&lt;&gt;1),F52-G52,0)</f>
        <v>-6.1787106192704222</v>
      </c>
      <c r="I52" s="62"/>
      <c r="J52" s="61">
        <f>J51-H52-I52</f>
        <v>-4259.1654491995796</v>
      </c>
      <c r="K52" s="61">
        <f>K51*(1+$J$17)^(1/12)</f>
        <v>5079.7110813074833</v>
      </c>
      <c r="L52" s="31">
        <f t="shared" si="11"/>
        <v>16</v>
      </c>
      <c r="M52" s="31">
        <f t="shared" si="12"/>
        <v>-2.6666666666666661</v>
      </c>
      <c r="N52" s="31">
        <f t="shared" si="13"/>
        <v>-2.35</v>
      </c>
      <c r="O52" s="62"/>
      <c r="P52" s="31">
        <f>O52+N52+M52+L52+I52+F52</f>
        <v>-10.186326370998302</v>
      </c>
      <c r="Q52" s="31">
        <f>SUM($P$36:P52)</f>
        <v>-657.20326370998328</v>
      </c>
      <c r="R52" s="83">
        <f t="shared" si="14"/>
        <v>-4.3417113808652777E-2</v>
      </c>
      <c r="S52" s="31">
        <f>SUMPRODUCT($P$36:P52,$D$36:D52)/D52-Q52</f>
        <v>-39.240467531068475</v>
      </c>
      <c r="T52" s="31">
        <f t="shared" si="8"/>
        <v>163.34236839791993</v>
      </c>
      <c r="U52" s="31">
        <f t="shared" si="9"/>
        <v>784.58236839791994</v>
      </c>
      <c r="V52" s="80" cm="1">
        <f t="array" ref="V52">IF($L$2&lt;&gt;1,IRR(IF(ROW($P$36:P52)=ROW(P52),P52+K52+J52,$P$36:P52),V51/12)*12,0)</f>
        <v>0.18259364261268729</v>
      </c>
      <c r="W52" s="83">
        <f>(1+V52/12)^(B52)-1</f>
        <v>0.27331599973794951</v>
      </c>
    </row>
    <row r="53" spans="2:25" x14ac:dyDescent="0.25">
      <c r="B53">
        <v>17</v>
      </c>
      <c r="C53" s="105">
        <f t="shared" si="7"/>
        <v>3.9789301544717048E-3</v>
      </c>
      <c r="D53" s="106">
        <f t="shared" si="10"/>
        <v>0.93472061904357151</v>
      </c>
      <c r="E53" s="60">
        <f>rate</f>
        <v>3.5145930840192463E-3</v>
      </c>
      <c r="F53" s="31">
        <f>IF(AND(B52&gt;=gracia,12*años+gracia-B52&gt;0,$L$2&lt;&gt;1),PMT(E52,12*años-B52+gracia,-J52),0)</f>
        <v>-21.169659704331636</v>
      </c>
      <c r="G53" s="31">
        <f>IF(AND(12*años+gracia-B52&gt;0,$L$2&lt;&gt;1),J52*E53,0)</f>
        <v>-14.969233431450569</v>
      </c>
      <c r="H53" s="31">
        <f>IF(AND(12*años+gracia-B52&gt;0,$L$2&lt;&gt;1),F53-G53,0)</f>
        <v>-6.2004262728810673</v>
      </c>
      <c r="I53" s="62"/>
      <c r="J53" s="61">
        <f>J52-H53-I53</f>
        <v>-4252.9650229266981</v>
      </c>
      <c r="K53" s="61">
        <f>K52*(1+$J$17)^(1/12)</f>
        <v>5104.4368318530805</v>
      </c>
      <c r="L53" s="31">
        <f t="shared" si="11"/>
        <v>16</v>
      </c>
      <c r="M53" s="31">
        <f t="shared" si="12"/>
        <v>-2.6666666666666661</v>
      </c>
      <c r="N53" s="31">
        <f t="shared" si="13"/>
        <v>-2.35</v>
      </c>
      <c r="O53" s="62"/>
      <c r="P53" s="31">
        <f>O53+N53+M53+L53+I53+F53</f>
        <v>-10.186326370998302</v>
      </c>
      <c r="Q53" s="31">
        <f>SUM($P$36:P53)</f>
        <v>-667.38959008098163</v>
      </c>
      <c r="R53" s="83">
        <f t="shared" si="14"/>
        <v>-5.2437353090004003E-2</v>
      </c>
      <c r="S53" s="31">
        <f>SUMPRODUCT($P$36:P53,$D$36:D53)/D53-Q53</f>
        <v>-42.01156849419624</v>
      </c>
      <c r="T53" s="31">
        <f t="shared" si="8"/>
        <v>184.08221884540126</v>
      </c>
      <c r="U53" s="31">
        <f t="shared" si="9"/>
        <v>805.32221884540127</v>
      </c>
      <c r="V53" s="80" cm="1">
        <f t="array" ref="V53">IF($L$2&lt;&gt;1,IRR(IF(ROW($P$36:P53)=ROW(P53),P53+K53+J53,$P$36:P53),V52/12)*12,0)</f>
        <v>0.19018546972692096</v>
      </c>
      <c r="W53" s="83">
        <f>(1+V53/12)^(B53)-1</f>
        <v>0.30645406227602567</v>
      </c>
    </row>
    <row r="54" spans="2:25" x14ac:dyDescent="0.25">
      <c r="B54">
        <v>18</v>
      </c>
      <c r="C54" s="105">
        <f t="shared" si="7"/>
        <v>3.9789301544717048E-3</v>
      </c>
      <c r="D54" s="106">
        <f t="shared" si="10"/>
        <v>0.93101617072756282</v>
      </c>
      <c r="E54" s="60">
        <f>rate</f>
        <v>3.5145930840192463E-3</v>
      </c>
      <c r="F54" s="31">
        <f>IF(AND(B53&gt;=gracia,12*años+gracia-B53&gt;0,$L$2&lt;&gt;1),PMT(E53,12*años-B53+gracia,-J53),0)</f>
        <v>-21.169659704331632</v>
      </c>
      <c r="G54" s="31">
        <f>IF(AND(12*años+gracia-B53&gt;0,$L$2&lt;&gt;1),J53*E54,0)</f>
        <v>-14.947441456153928</v>
      </c>
      <c r="H54" s="31">
        <f>IF(AND(12*años+gracia-B53&gt;0,$L$2&lt;&gt;1),F54-G54,0)</f>
        <v>-6.222218248177704</v>
      </c>
      <c r="I54" s="62"/>
      <c r="J54" s="61">
        <f>J53-H54-I54</f>
        <v>-4246.7428046785208</v>
      </c>
      <c r="K54" s="61">
        <f>K53*(1+$J$17)^(1/12)</f>
        <v>5129.2829362397251</v>
      </c>
      <c r="L54" s="31">
        <f t="shared" si="11"/>
        <v>16</v>
      </c>
      <c r="M54" s="31">
        <f t="shared" si="12"/>
        <v>-2.6666666666666661</v>
      </c>
      <c r="N54" s="31">
        <f t="shared" si="13"/>
        <v>-2.35</v>
      </c>
      <c r="O54" s="62"/>
      <c r="P54" s="31">
        <f>O54+N54+M54+L54+I54+F54</f>
        <v>-10.186326370998298</v>
      </c>
      <c r="Q54" s="31">
        <f>SUM($P$36:P54)</f>
        <v>-677.57591645197988</v>
      </c>
      <c r="R54" s="83">
        <f t="shared" si="14"/>
        <v>-6.0455343562316084E-2</v>
      </c>
      <c r="S54" s="31">
        <f>SUMPRODUCT($P$36:P54,$D$36:D54)/D54-Q54</f>
        <v>-44.834226155668262</v>
      </c>
      <c r="T54" s="31">
        <f t="shared" si="8"/>
        <v>204.96421510922482</v>
      </c>
      <c r="U54" s="31">
        <f t="shared" si="9"/>
        <v>826.20421510922483</v>
      </c>
      <c r="V54" s="80" cm="1">
        <f t="array" ref="V54">IF($L$2&lt;&gt;1,IRR(IF(ROW($P$36:P54)=ROW(P54),P54+K54+J54,$P$36:P54),V53/12)*12,0)</f>
        <v>0.19641435527097428</v>
      </c>
      <c r="W54" s="83">
        <f>(1+V54/12)^(B54)-1</f>
        <v>0.33941956817530805</v>
      </c>
    </row>
    <row r="55" spans="2:25" x14ac:dyDescent="0.25">
      <c r="B55">
        <v>19</v>
      </c>
      <c r="C55" s="105">
        <f t="shared" si="7"/>
        <v>3.9789301544717048E-3</v>
      </c>
      <c r="D55" s="106">
        <f t="shared" si="10"/>
        <v>0.92732640373669706</v>
      </c>
      <c r="E55" s="60">
        <f>rate</f>
        <v>3.5145930840192463E-3</v>
      </c>
      <c r="F55" s="31">
        <f>IF(AND(B54&gt;=gracia,12*años+gracia-B54&gt;0,$L$2&lt;&gt;1),PMT(E54,12*años-B54+gracia,-J54),0)</f>
        <v>-21.169659704331632</v>
      </c>
      <c r="G55" s="31">
        <f>IF(AND(12*años+gracia-B54&gt;0,$L$2&lt;&gt;1),J54*E55,0)</f>
        <v>-14.925572890931626</v>
      </c>
      <c r="H55" s="31">
        <f>IF(AND(12*años+gracia-B54&gt;0,$L$2&lt;&gt;1),F55-G55,0)</f>
        <v>-6.2440868134000063</v>
      </c>
      <c r="I55" s="62"/>
      <c r="J55" s="61">
        <f>J54-H55-I55</f>
        <v>-4240.4987178651209</v>
      </c>
      <c r="K55" s="61">
        <f>K54*(1+$J$17)^(1/12)</f>
        <v>5154.2499802958237</v>
      </c>
      <c r="L55" s="31">
        <f t="shared" si="11"/>
        <v>16</v>
      </c>
      <c r="M55" s="31">
        <f t="shared" si="12"/>
        <v>-2.6666666666666661</v>
      </c>
      <c r="N55" s="31">
        <f t="shared" si="13"/>
        <v>-2.35</v>
      </c>
      <c r="O55" s="62"/>
      <c r="P55" s="31">
        <f>O55+N55+M55+L55+I55+F55</f>
        <v>-10.186326370998298</v>
      </c>
      <c r="Q55" s="31">
        <f>SUM($P$36:P55)</f>
        <v>-687.76224282297812</v>
      </c>
      <c r="R55" s="83">
        <f t="shared" si="14"/>
        <v>-6.762933503754269E-2</v>
      </c>
      <c r="S55" s="31">
        <f>SUMPRODUCT($P$36:P55,$D$36:D55)/D55-Q55</f>
        <v>-47.708645655986061</v>
      </c>
      <c r="T55" s="31">
        <f t="shared" si="8"/>
        <v>225.98901960772491</v>
      </c>
      <c r="U55" s="31">
        <f t="shared" si="9"/>
        <v>847.22901960772492</v>
      </c>
      <c r="V55" s="80" cm="1">
        <f t="array" ref="V55">IF($L$2&lt;&gt;1,IRR(IF(ROW($P$36:P55)=ROW(P55),P55+K55+J55,$P$36:P55),V54/12)*12,0)</f>
        <v>0.20151937165604306</v>
      </c>
      <c r="W55" s="83">
        <f>(1+V55/12)^(B55)-1</f>
        <v>0.37221033683942095</v>
      </c>
    </row>
    <row r="56" spans="2:25" x14ac:dyDescent="0.25">
      <c r="B56">
        <v>20</v>
      </c>
      <c r="C56" s="105">
        <f t="shared" si="7"/>
        <v>3.9789301544717048E-3</v>
      </c>
      <c r="D56" s="106">
        <f t="shared" si="10"/>
        <v>0.92365125988651886</v>
      </c>
      <c r="E56" s="60">
        <f>rate</f>
        <v>3.5145930840192463E-3</v>
      </c>
      <c r="F56" s="31">
        <f>IF(AND(B55&gt;=gracia,12*años+gracia-B55&gt;0,$L$2&lt;&gt;1),PMT(E55,12*años-B55+gracia,-J55),0)</f>
        <v>-21.169659704331632</v>
      </c>
      <c r="G56" s="31">
        <f>IF(AND(12*años+gracia-B55&gt;0,$L$2&lt;&gt;1),J55*E56,0)</f>
        <v>-14.903627466601234</v>
      </c>
      <c r="H56" s="31">
        <f>IF(AND(12*años+gracia-B55&gt;0,$L$2&lt;&gt;1),F56-G56,0)</f>
        <v>-6.2660322377303981</v>
      </c>
      <c r="I56" s="62"/>
      <c r="J56" s="61">
        <f>J55-H56-I56</f>
        <v>-4234.2326856273903</v>
      </c>
      <c r="K56" s="61">
        <f>K55*(1+$J$17)^(1/12)</f>
        <v>5179.3385527013324</v>
      </c>
      <c r="L56" s="31">
        <f t="shared" si="11"/>
        <v>16</v>
      </c>
      <c r="M56" s="31">
        <f t="shared" si="12"/>
        <v>-2.6666666666666661</v>
      </c>
      <c r="N56" s="31">
        <f t="shared" si="13"/>
        <v>-2.35</v>
      </c>
      <c r="O56" s="62"/>
      <c r="P56" s="31">
        <f>O56+N56+M56+L56+I56+F56</f>
        <v>-10.186326370998298</v>
      </c>
      <c r="Q56" s="31">
        <f>SUM($P$36:P56)</f>
        <v>-697.94856919397637</v>
      </c>
      <c r="R56" s="83">
        <f t="shared" si="14"/>
        <v>-7.4085927365246634E-2</v>
      </c>
      <c r="S56" s="31">
        <f>SUMPRODUCT($P$36:P56,$D$36:D56)/D56-Q56</f>
        <v>-50.635032951891048</v>
      </c>
      <c r="T56" s="31">
        <f t="shared" si="8"/>
        <v>247.15729787996588</v>
      </c>
      <c r="U56" s="31">
        <f t="shared" si="9"/>
        <v>868.39729787996589</v>
      </c>
      <c r="V56" s="80" cm="1">
        <f t="array" ref="V56">IF($L$2&lt;&gt;1,IRR(IF(ROW($P$36:P56)=ROW(P56),P56+K56+J56,$P$36:P56),V55/12)*12,0)</f>
        <v>0.20569115270320282</v>
      </c>
      <c r="W56" s="83">
        <f>(1+V56/12)^(B56)-1</f>
        <v>0.40482623941131335</v>
      </c>
    </row>
    <row r="57" spans="2:25" x14ac:dyDescent="0.25">
      <c r="B57">
        <v>21</v>
      </c>
      <c r="C57" s="105">
        <f t="shared" si="7"/>
        <v>3.9789301544717048E-3</v>
      </c>
      <c r="D57" s="106">
        <f t="shared" si="10"/>
        <v>0.91999068122316707</v>
      </c>
      <c r="E57" s="60">
        <f>rate</f>
        <v>3.5145930840192463E-3</v>
      </c>
      <c r="F57" s="31">
        <f>IF(AND(B56&gt;=gracia,12*años+gracia-B56&gt;0,$L$2&lt;&gt;1),PMT(E56,12*años-B56+gracia,-J56),0)</f>
        <v>-21.169659704331632</v>
      </c>
      <c r="G57" s="31">
        <f>IF(AND(12*años+gracia-B56&gt;0,$L$2&lt;&gt;1),J56*E57,0)</f>
        <v>-14.881604913034266</v>
      </c>
      <c r="H57" s="31">
        <f>IF(AND(12*años+gracia-B56&gt;0,$L$2&lt;&gt;1),F57-G57,0)</f>
        <v>-6.2880547912973661</v>
      </c>
      <c r="I57" s="62"/>
      <c r="J57" s="61">
        <f>J56-H57-I57</f>
        <v>-4227.944630836093</v>
      </c>
      <c r="K57" s="61">
        <f>K56*(1+$J$17)^(1/12)</f>
        <v>5204.5492450016372</v>
      </c>
      <c r="L57" s="31">
        <f t="shared" si="11"/>
        <v>16</v>
      </c>
      <c r="M57" s="31">
        <f t="shared" si="12"/>
        <v>-2.6666666666666661</v>
      </c>
      <c r="N57" s="31">
        <f t="shared" si="13"/>
        <v>-2.35</v>
      </c>
      <c r="O57" s="62"/>
      <c r="P57" s="31">
        <f>O57+N57+M57+L57+I57+F57</f>
        <v>-10.186326370998298</v>
      </c>
      <c r="Q57" s="31">
        <f>SUM($P$36:P57)</f>
        <v>-708.13489556497461</v>
      </c>
      <c r="R57" s="83">
        <f t="shared" si="14"/>
        <v>-7.9927606137931165E-2</v>
      </c>
      <c r="S57" s="31">
        <f>SUMPRODUCT($P$36:P57,$D$36:D57)/D57-Q57</f>
        <v>-53.613594819612331</v>
      </c>
      <c r="T57" s="31">
        <f t="shared" si="8"/>
        <v>268.46971860056965</v>
      </c>
      <c r="U57" s="31">
        <f t="shared" si="9"/>
        <v>889.70971860056966</v>
      </c>
      <c r="V57" s="80" cm="1">
        <f t="array" ref="V57">IF($L$2&lt;&gt;1,IRR(IF(ROW($P$36:P57)=ROW(P57),P57+K57+J57,$P$36:P57),V56/12)*12,0)</f>
        <v>0.20908318730023723</v>
      </c>
      <c r="W57" s="83">
        <f>(1+V57/12)^(B57)-1</f>
        <v>0.43726861619293711</v>
      </c>
    </row>
    <row r="58" spans="2:25" x14ac:dyDescent="0.25">
      <c r="B58">
        <v>22</v>
      </c>
      <c r="C58" s="105">
        <f t="shared" si="7"/>
        <v>3.9789301544717048E-3</v>
      </c>
      <c r="D58" s="106">
        <f t="shared" si="10"/>
        <v>0.91634461002246104</v>
      </c>
      <c r="E58" s="60">
        <f>rate</f>
        <v>3.5145930840192463E-3</v>
      </c>
      <c r="F58" s="31">
        <f>IF(AND(B57&gt;=gracia,12*años+gracia-B57&gt;0,$L$2&lt;&gt;1),PMT(E57,12*años-B57+gracia,-J57),0)</f>
        <v>-21.169659704331636</v>
      </c>
      <c r="G58" s="31">
        <f>IF(AND(12*años+gracia-B57&gt;0,$L$2&lt;&gt;1),J57*E58,0)</f>
        <v>-14.859504959152838</v>
      </c>
      <c r="H58" s="31">
        <f>IF(AND(12*años+gracia-B57&gt;0,$L$2&lt;&gt;1),F58-G58,0)</f>
        <v>-6.3101547451787976</v>
      </c>
      <c r="I58" s="62"/>
      <c r="J58" s="61">
        <f>J57-H58-I58</f>
        <v>-4221.6344760909142</v>
      </c>
      <c r="K58" s="61">
        <f>K57*(1+$J$17)^(1/12)</f>
        <v>5229.8826516215004</v>
      </c>
      <c r="L58" s="31">
        <f t="shared" si="11"/>
        <v>16</v>
      </c>
      <c r="M58" s="31">
        <f t="shared" si="12"/>
        <v>-2.6666666666666661</v>
      </c>
      <c r="N58" s="31">
        <f t="shared" si="13"/>
        <v>-2.35</v>
      </c>
      <c r="O58" s="62"/>
      <c r="P58" s="31">
        <f>O58+N58+M58+L58+I58+F58</f>
        <v>-10.186326370998302</v>
      </c>
      <c r="Q58" s="31">
        <f>SUM($P$36:P58)</f>
        <v>-718.32122193597297</v>
      </c>
      <c r="R58" s="83">
        <f t="shared" si="14"/>
        <v>-8.5238223204008076E-2</v>
      </c>
      <c r="S58" s="31">
        <f>SUMPRODUCT($P$36:P58,$D$36:D58)/D58-Q58</f>
        <v>-56.644538858126907</v>
      </c>
      <c r="T58" s="31">
        <f t="shared" si="8"/>
        <v>289.92695359461322</v>
      </c>
      <c r="U58" s="31">
        <f t="shared" si="9"/>
        <v>911.16695359461323</v>
      </c>
      <c r="V58" s="80" cm="1">
        <f t="array" ref="V58">IF($L$2&lt;&gt;1,IRR(IF(ROW($P$36:P58)=ROW(P58),P58+K58+J58,$P$36:P58),V57/12)*12,0)</f>
        <v>0.21182014088237722</v>
      </c>
      <c r="W58" s="83">
        <f>(1+V58/12)^(B58)-1</f>
        <v>0.46953986100857548</v>
      </c>
    </row>
    <row r="59" spans="2:25" x14ac:dyDescent="0.25">
      <c r="B59">
        <v>23</v>
      </c>
      <c r="C59" s="105">
        <f t="shared" si="7"/>
        <v>3.9789301544717048E-3</v>
      </c>
      <c r="D59" s="106">
        <f t="shared" si="10"/>
        <v>0.91271298878899054</v>
      </c>
      <c r="E59" s="60">
        <f>rate</f>
        <v>3.5145930840192463E-3</v>
      </c>
      <c r="F59" s="31">
        <f>IF(AND(B58&gt;=gracia,12*años+gracia-B58&gt;0,$L$2&lt;&gt;1),PMT(E58,12*años-B58+gracia,-J58),0)</f>
        <v>-21.169659704331632</v>
      </c>
      <c r="G59" s="31">
        <f>IF(AND(12*años+gracia-B58&gt;0,$L$2&lt;&gt;1),J58*E59,0)</f>
        <v>-14.837327332926341</v>
      </c>
      <c r="H59" s="31">
        <f>IF(AND(12*años+gracia-B58&gt;0,$L$2&lt;&gt;1),F59-G59,0)</f>
        <v>-6.3323323714052915</v>
      </c>
      <c r="I59" s="62"/>
      <c r="J59" s="61">
        <f>J58-H59-I59</f>
        <v>-4215.3021437195093</v>
      </c>
      <c r="K59" s="61">
        <f>K58*(1+$J$17)^(1/12)</f>
        <v>5255.3393698790787</v>
      </c>
      <c r="L59" s="31">
        <f t="shared" si="11"/>
        <v>16</v>
      </c>
      <c r="M59" s="31">
        <f t="shared" si="12"/>
        <v>-2.6666666666666661</v>
      </c>
      <c r="N59" s="31">
        <f t="shared" si="13"/>
        <v>-2.35</v>
      </c>
      <c r="O59" s="62"/>
      <c r="P59" s="31">
        <f>O59+N59+M59+L59+I59+F59</f>
        <v>-10.186326370998298</v>
      </c>
      <c r="Q59" s="31">
        <f>SUM($P$36:P59)</f>
        <v>-728.50754830697122</v>
      </c>
      <c r="R59" s="83">
        <f t="shared" si="14"/>
        <v>-9.0087047481730395E-2</v>
      </c>
      <c r="S59" s="31">
        <f>SUMPRODUCT($P$36:P59,$D$36:D59)/D59-Q59</f>
        <v>-59.728073492433737</v>
      </c>
      <c r="T59" s="31">
        <f t="shared" si="8"/>
        <v>311.52967785259807</v>
      </c>
      <c r="U59" s="31">
        <f t="shared" si="9"/>
        <v>932.76967785259808</v>
      </c>
      <c r="V59" s="80" cm="1">
        <f t="array" ref="V59">IF($L$2&lt;&gt;1,IRR(IF(ROW($P$36:P59)=ROW(P59),P59+K59+J59,$P$36:P59),V58/12)*12,0)</f>
        <v>0.21400407176774472</v>
      </c>
      <c r="W59" s="83">
        <f>(1+V59/12)^(B59)-1</f>
        <v>0.50164312130194189</v>
      </c>
    </row>
    <row r="60" spans="2:25" x14ac:dyDescent="0.25">
      <c r="B60">
        <v>24</v>
      </c>
      <c r="C60" s="105">
        <f t="shared" si="7"/>
        <v>3.9789301544717048E-3</v>
      </c>
      <c r="D60" s="106">
        <f t="shared" si="10"/>
        <v>0.90909576025520866</v>
      </c>
      <c r="E60" s="60">
        <f>rate</f>
        <v>3.5145930840192463E-3</v>
      </c>
      <c r="F60" s="31">
        <f>IF(AND(B59&gt;=gracia,12*años+gracia-B59&gt;0,$L$2&lt;&gt;1),PMT(E59,12*años-B59+gracia,-J59),0)</f>
        <v>-21.169659704331639</v>
      </c>
      <c r="G60" s="31">
        <f>IF(AND(12*años+gracia-B59&gt;0,$L$2&lt;&gt;1),J59*E60,0)</f>
        <v>-14.81507176136809</v>
      </c>
      <c r="H60" s="31">
        <f>IF(AND(12*años+gracia-B59&gt;0,$L$2&lt;&gt;1),F60-G60,0)</f>
        <v>-6.3545879429635495</v>
      </c>
      <c r="I60" s="62"/>
      <c r="J60" s="61">
        <f>J59-H60-I60</f>
        <v>-4208.9475557765454</v>
      </c>
      <c r="K60" s="61">
        <f>K59*(1+$J$17)^(1/12)</f>
        <v>5280.9200000000028</v>
      </c>
      <c r="L60" s="31">
        <f t="shared" si="11"/>
        <v>16</v>
      </c>
      <c r="M60" s="31">
        <f t="shared" si="12"/>
        <v>-2.6666666666666661</v>
      </c>
      <c r="N60" s="31">
        <f t="shared" si="13"/>
        <v>-2.35</v>
      </c>
      <c r="O60" s="62"/>
      <c r="P60" s="31">
        <f>O60+N60+M60+L60+I60+F60</f>
        <v>-10.186326370998305</v>
      </c>
      <c r="Q60" s="31">
        <f>SUM($P$36:P60)</f>
        <v>-738.69387467796957</v>
      </c>
      <c r="R60" s="83">
        <f t="shared" si="14"/>
        <v>-9.4531803069642623E-2</v>
      </c>
      <c r="S60" s="31">
        <f>SUMPRODUCT($P$36:P60,$D$36:D60)/D60-Q60</f>
        <v>-62.864407976840084</v>
      </c>
      <c r="T60" s="31">
        <f t="shared" si="8"/>
        <v>333.2785695454877</v>
      </c>
      <c r="U60" s="31">
        <f t="shared" si="9"/>
        <v>954.51856954548771</v>
      </c>
      <c r="V60" s="80" cm="1">
        <f t="array" ref="V60">IF($L$2&lt;&gt;1,IRR(IF(ROW($P$36:P60)=ROW(P60),P60+K60+J60,$P$36:P60),V59/12)*12,0)</f>
        <v>0.2157191330451651</v>
      </c>
      <c r="W60" s="83">
        <f>(1+V60/12)^(B60)-1</f>
        <v>0.53358207922825329</v>
      </c>
    </row>
    <row r="61" spans="2:25" x14ac:dyDescent="0.25">
      <c r="B61">
        <v>25</v>
      </c>
      <c r="C61" s="105">
        <f t="shared" si="7"/>
        <v>3.9789301544717048E-3</v>
      </c>
      <c r="D61" s="106">
        <f t="shared" si="10"/>
        <v>0.90549286738052925</v>
      </c>
      <c r="E61" s="60">
        <f>rate</f>
        <v>3.5145930840192463E-3</v>
      </c>
      <c r="F61" s="31">
        <f>IF(AND(B60&gt;=gracia,12*años+gracia-B60&gt;0,$L$2&lt;&gt;1),PMT(E60,12*años-B60+gracia,-J60),0)</f>
        <v>-21.169659704331632</v>
      </c>
      <c r="G61" s="31">
        <f>IF(AND(12*años+gracia-B60&gt;0,$L$2&lt;&gt;1),J60*E61,0)</f>
        <v>-14.792737970531958</v>
      </c>
      <c r="H61" s="31">
        <f>IF(AND(12*años+gracia-B60&gt;0,$L$2&lt;&gt;1),F61-G61,0)</f>
        <v>-6.3769217337996746</v>
      </c>
      <c r="I61" s="62"/>
      <c r="J61" s="61">
        <f>J60-H61-I61</f>
        <v>-4202.570634042746</v>
      </c>
      <c r="K61" s="61">
        <f>K60*(1+$J$17)^(1/12)</f>
        <v>5306.6251451315338</v>
      </c>
      <c r="L61" s="31">
        <f t="shared" si="11"/>
        <v>16</v>
      </c>
      <c r="M61" s="31">
        <f t="shared" si="12"/>
        <v>-2.6666666666666661</v>
      </c>
      <c r="N61" s="31">
        <f t="shared" si="13"/>
        <v>-2.35</v>
      </c>
      <c r="O61" s="62"/>
      <c r="P61" s="31">
        <f>O61+N61+M61+L61+I61+F61</f>
        <v>-10.186326370998298</v>
      </c>
      <c r="Q61" s="31">
        <f>SUM($P$36:P61)</f>
        <v>-748.88020104896782</v>
      </c>
      <c r="R61" s="83">
        <f t="shared" si="14"/>
        <v>-9.8620978210521779E-2</v>
      </c>
      <c r="S61" s="31">
        <f>SUMPRODUCT($P$36:P61,$D$36:D61)/D61-Q61</f>
        <v>-66.053752398261963</v>
      </c>
      <c r="T61" s="31">
        <f t="shared" si="8"/>
        <v>355.17431003981983</v>
      </c>
      <c r="U61" s="31">
        <f t="shared" si="9"/>
        <v>976.41431003981984</v>
      </c>
      <c r="V61" s="80" cm="1">
        <f t="array" ref="V61">IF($L$2&lt;&gt;1,IRR(IF(ROW($P$36:P61)=ROW(P61),P61+K61+J61,$P$36:P61),V60/12)*12,0)</f>
        <v>0.21703516963991643</v>
      </c>
      <c r="W61" s="83">
        <f>(1+V61/12)^(B61)-1</f>
        <v>0.5653607903611646</v>
      </c>
    </row>
    <row r="62" spans="2:25" x14ac:dyDescent="0.25">
      <c r="B62">
        <v>26</v>
      </c>
      <c r="C62" s="105">
        <f t="shared" si="7"/>
        <v>3.9789301544717048E-3</v>
      </c>
      <c r="D62" s="106">
        <f t="shared" si="10"/>
        <v>0.9019042533504269</v>
      </c>
      <c r="E62" s="60">
        <f>rate</f>
        <v>3.5145930840192463E-3</v>
      </c>
      <c r="F62" s="31">
        <f>IF(AND(B61&gt;=gracia,12*años+gracia-B61&gt;0,$L$2&lt;&gt;1),PMT(E61,12*años-B61+gracia,-J61),0)</f>
        <v>-21.169659704331632</v>
      </c>
      <c r="G62" s="31">
        <f>IF(AND(12*años+gracia-B61&gt;0,$L$2&lt;&gt;1),J61*E62,0)</f>
        <v>-14.770325685509015</v>
      </c>
      <c r="H62" s="31">
        <f>IF(AND(12*años+gracia-B61&gt;0,$L$2&lt;&gt;1),F62-G62,0)</f>
        <v>-6.3993340188226178</v>
      </c>
      <c r="I62" s="62"/>
      <c r="J62" s="61">
        <f>J61-H62-I62</f>
        <v>-4196.1713000239233</v>
      </c>
      <c r="K62" s="61">
        <f>K61*(1+$J$17)^(1/12)</f>
        <v>5332.4554113567829</v>
      </c>
      <c r="L62" s="31">
        <f t="shared" si="11"/>
        <v>16</v>
      </c>
      <c r="M62" s="31">
        <f t="shared" si="12"/>
        <v>-2.6666666666666661</v>
      </c>
      <c r="N62" s="31">
        <f t="shared" si="13"/>
        <v>-2.35</v>
      </c>
      <c r="O62" s="62"/>
      <c r="P62" s="31">
        <f>O62+N62+M62+L62+I62+F62</f>
        <v>-10.186326370998298</v>
      </c>
      <c r="Q62" s="31">
        <f>SUM($P$36:P62)</f>
        <v>-759.06652741996606</v>
      </c>
      <c r="R62" s="83">
        <f t="shared" si="14"/>
        <v>-0.10239560141748716</v>
      </c>
      <c r="S62" s="31">
        <f>SUMPRODUCT($P$36:P62,$D$36:D62)/D62-Q62</f>
        <v>-69.29631767953606</v>
      </c>
      <c r="T62" s="31">
        <f t="shared" si="8"/>
        <v>377.21758391289313</v>
      </c>
      <c r="U62" s="31">
        <f t="shared" si="9"/>
        <v>998.45758391289314</v>
      </c>
      <c r="V62" s="80" cm="1">
        <f t="array" ref="V62">IF($L$2&lt;&gt;1,IRR(IF(ROW($P$36:P62)=ROW(P62),P62+K62+J62,$P$36:P62),V61/12)*12,0)</f>
        <v>0.21801049898440716</v>
      </c>
      <c r="W62" s="83">
        <f>(1+V62/12)^(B62)-1</f>
        <v>0.59698356393271124</v>
      </c>
    </row>
    <row r="63" spans="2:25" x14ac:dyDescent="0.25">
      <c r="B63">
        <v>27</v>
      </c>
      <c r="C63" s="105">
        <f t="shared" si="7"/>
        <v>3.9789301544717048E-3</v>
      </c>
      <c r="D63" s="106">
        <f t="shared" si="10"/>
        <v>0.89832986157554162</v>
      </c>
      <c r="E63" s="60">
        <f>rate</f>
        <v>3.5145930840192463E-3</v>
      </c>
      <c r="F63" s="31">
        <f>IF(AND(B62&gt;=gracia,12*años+gracia-B62&gt;0,$L$2&lt;&gt;1),PMT(E62,12*años-B62+gracia,-J62),0)</f>
        <v>-21.169659704331632</v>
      </c>
      <c r="G63" s="31">
        <f>IF(AND(12*años+gracia-B62&gt;0,$L$2&lt;&gt;1),J62*E63,0)</f>
        <v>-14.74783463042413</v>
      </c>
      <c r="H63" s="31">
        <f>IF(AND(12*años+gracia-B62&gt;0,$L$2&lt;&gt;1),F63-G63,0)</f>
        <v>-6.4218250739075025</v>
      </c>
      <c r="I63" s="62"/>
      <c r="J63" s="61">
        <f>J62-H63-I63</f>
        <v>-4189.7494749500156</v>
      </c>
      <c r="K63" s="61">
        <f>K62*(1+$J$17)^(1/12)</f>
        <v>5358.4114077089989</v>
      </c>
      <c r="L63" s="31">
        <f t="shared" si="11"/>
        <v>16</v>
      </c>
      <c r="M63" s="31">
        <f t="shared" si="12"/>
        <v>-2.6666666666666661</v>
      </c>
      <c r="N63" s="31">
        <f t="shared" si="13"/>
        <v>-2.35</v>
      </c>
      <c r="O63" s="62"/>
      <c r="P63" s="31">
        <f>O63+N63+M63+L63+I63+F63</f>
        <v>-10.186326370998298</v>
      </c>
      <c r="Q63" s="31">
        <f>SUM($P$36:P63)</f>
        <v>-769.25285379096431</v>
      </c>
      <c r="R63" s="83">
        <f t="shared" si="14"/>
        <v>-0.10589062290541805</v>
      </c>
      <c r="S63" s="31">
        <f>SUMPRODUCT($P$36:P63,$D$36:D63)/D63-Q63</f>
        <v>-72.592315582746437</v>
      </c>
      <c r="T63" s="31">
        <f t="shared" si="8"/>
        <v>399.40907896801855</v>
      </c>
      <c r="U63" s="31">
        <f t="shared" si="9"/>
        <v>1020.6490789680186</v>
      </c>
      <c r="V63" s="80" cm="1">
        <f t="array" ref="V63">IF($L$2&lt;&gt;1,IRR(IF(ROW($P$36:P63)=ROW(P63),P63+K63+J63,$P$36:P63),V62/12)*12,0)</f>
        <v>0.21869408127448953</v>
      </c>
      <c r="W63" s="83">
        <f>(1+V63/12)^(B63)-1</f>
        <v>0.62845487337181871</v>
      </c>
    </row>
    <row r="64" spans="2:25" x14ac:dyDescent="0.25">
      <c r="B64">
        <v>28</v>
      </c>
      <c r="C64" s="105">
        <f t="shared" si="7"/>
        <v>3.9789301544717048E-3</v>
      </c>
      <c r="D64" s="106">
        <f t="shared" si="10"/>
        <v>0.89476963569078594</v>
      </c>
      <c r="E64" s="60">
        <f>rate</f>
        <v>3.5145930840192463E-3</v>
      </c>
      <c r="F64" s="31">
        <f>IF(AND(B63&gt;=gracia,12*años+gracia-B63&gt;0,$L$2&lt;&gt;1),PMT(E63,12*años-B63+gracia,-J63),0)</f>
        <v>-21.169659704331636</v>
      </c>
      <c r="G64" s="31">
        <f>IF(AND(12*años+gracia-B63&gt;0,$L$2&lt;&gt;1),J63*E64,0)</f>
        <v>-14.725264528432593</v>
      </c>
      <c r="H64" s="31">
        <f>IF(AND(12*años+gracia-B63&gt;0,$L$2&lt;&gt;1),F64-G64,0)</f>
        <v>-6.444395175899043</v>
      </c>
      <c r="I64" s="62"/>
      <c r="J64" s="61">
        <f>J63-H64-I64</f>
        <v>-4183.3050797741162</v>
      </c>
      <c r="K64" s="61">
        <f>K63*(1+$J$17)^(1/12)</f>
        <v>5384.4937461859336</v>
      </c>
      <c r="L64" s="31">
        <f t="shared" si="11"/>
        <v>16</v>
      </c>
      <c r="M64" s="31">
        <f t="shared" si="12"/>
        <v>-2.6666666666666661</v>
      </c>
      <c r="N64" s="31">
        <f t="shared" si="13"/>
        <v>-2.35</v>
      </c>
      <c r="O64" s="62"/>
      <c r="P64" s="31">
        <f>O64+N64+M64+L64+I64+F64</f>
        <v>-10.186326370998302</v>
      </c>
      <c r="Q64" s="31">
        <f>SUM($P$36:P64)</f>
        <v>-779.43918016196267</v>
      </c>
      <c r="R64" s="83">
        <f t="shared" si="14"/>
        <v>-0.10913600000135397</v>
      </c>
      <c r="S64" s="31">
        <f>SUMPRODUCT($P$36:P64,$D$36:D64)/D64-Q64</f>
        <v>-75.941958712563746</v>
      </c>
      <c r="T64" s="31">
        <f t="shared" si="8"/>
        <v>421.74948624985518</v>
      </c>
      <c r="U64" s="31">
        <f t="shared" si="9"/>
        <v>1042.9894862498552</v>
      </c>
      <c r="V64" s="80" cm="1">
        <f t="array" ref="V64">IF($L$2&lt;&gt;1,IRR(IF(ROW($P$36:P64)=ROW(P64),P64+K64+J64,$P$36:P64),V63/12)*12,0)</f>
        <v>0.2191272283403789</v>
      </c>
      <c r="W64" s="83">
        <f>(1+V64/12)^(B64)-1</f>
        <v>0.65977928918184992</v>
      </c>
    </row>
    <row r="65" spans="2:23" x14ac:dyDescent="0.25">
      <c r="B65">
        <v>29</v>
      </c>
      <c r="C65" s="105">
        <f t="shared" si="7"/>
        <v>3.9789301544717048E-3</v>
      </c>
      <c r="D65" s="106">
        <f t="shared" si="10"/>
        <v>0.89122351955445633</v>
      </c>
      <c r="E65" s="60">
        <f>rate</f>
        <v>3.5145930840192463E-3</v>
      </c>
      <c r="F65" s="31">
        <f>IF(AND(B64&gt;=gracia,12*años+gracia-B64&gt;0,$L$2&lt;&gt;1),PMT(E64,12*años-B64+gracia,-J64),0)</f>
        <v>-21.169659704331629</v>
      </c>
      <c r="G65" s="31">
        <f>IF(AND(12*años+gracia-B64&gt;0,$L$2&lt;&gt;1),J64*E65,0)</f>
        <v>-14.70261510171669</v>
      </c>
      <c r="H65" s="31">
        <f>IF(AND(12*años+gracia-B64&gt;0,$L$2&lt;&gt;1),F65-G65,0)</f>
        <v>-6.4670446026149389</v>
      </c>
      <c r="I65" s="62"/>
      <c r="J65" s="61">
        <f>J64-H65-I65</f>
        <v>-4176.8380351715014</v>
      </c>
      <c r="K65" s="61">
        <f>K64*(1+$J$17)^(1/12)</f>
        <v>5410.7030417642673</v>
      </c>
      <c r="L65" s="31">
        <f t="shared" si="11"/>
        <v>16</v>
      </c>
      <c r="M65" s="31">
        <f t="shared" si="12"/>
        <v>-2.6666666666666661</v>
      </c>
      <c r="N65" s="31">
        <f t="shared" si="13"/>
        <v>-2.35</v>
      </c>
      <c r="O65" s="62"/>
      <c r="P65" s="31">
        <f>O65+N65+M65+L65+I65+F65</f>
        <v>-10.186326370998295</v>
      </c>
      <c r="Q65" s="31">
        <f>SUM($P$36:P65)</f>
        <v>-789.62550653296091</v>
      </c>
      <c r="R65" s="83">
        <f t="shared" si="14"/>
        <v>-0.11215755798722524</v>
      </c>
      <c r="S65" s="31">
        <f>SUMPRODUCT($P$36:P65,$D$36:D65)/D65-Q65</f>
        <v>-79.34546051959785</v>
      </c>
      <c r="T65" s="31">
        <f t="shared" si="8"/>
        <v>444.23950005980532</v>
      </c>
      <c r="U65" s="31">
        <f t="shared" si="9"/>
        <v>1065.4795000598053</v>
      </c>
      <c r="V65" s="80" cm="1">
        <f t="array" ref="V65">IF($L$2&lt;&gt;1,IRR(IF(ROW($P$36:P65)=ROW(P65),P65+K65+J65,$P$36:P65),V64/12)*12,0)</f>
        <v>0.21934496026005146</v>
      </c>
      <c r="W65" s="83">
        <f>(1+V65/12)^(B65)-1</f>
        <v>0.69096142844517772</v>
      </c>
    </row>
    <row r="66" spans="2:23" x14ac:dyDescent="0.25">
      <c r="B66">
        <v>30</v>
      </c>
      <c r="C66" s="105">
        <f t="shared" si="7"/>
        <v>3.9789301544717048E-3</v>
      </c>
      <c r="D66" s="106">
        <f t="shared" si="10"/>
        <v>0.88769145724734788</v>
      </c>
      <c r="E66" s="60">
        <f>rate</f>
        <v>3.5145930840192463E-3</v>
      </c>
      <c r="F66" s="31">
        <f>IF(AND(B65&gt;=gracia,12*años+gracia-B65&gt;0,$L$2&lt;&gt;1),PMT(E65,12*años-B65+gracia,-J65),0)</f>
        <v>-21.169659704331632</v>
      </c>
      <c r="G66" s="31">
        <f>IF(AND(12*años+gracia-B65&gt;0,$L$2&lt;&gt;1),J65*E66,0)</f>
        <v>-14.679886071482295</v>
      </c>
      <c r="H66" s="31">
        <f>IF(AND(12*años+gracia-B65&gt;0,$L$2&lt;&gt;1),F66-G66,0)</f>
        <v>-6.4897736328493369</v>
      </c>
      <c r="I66" s="62"/>
      <c r="J66" s="61">
        <f>J65-H66-I66</f>
        <v>-4170.348261538652</v>
      </c>
      <c r="K66" s="61">
        <f>K65*(1+$J$17)^(1/12)</f>
        <v>5437.0399124141104</v>
      </c>
      <c r="L66" s="31">
        <f t="shared" si="11"/>
        <v>16</v>
      </c>
      <c r="M66" s="31">
        <f t="shared" si="12"/>
        <v>-2.6666666666666661</v>
      </c>
      <c r="N66" s="31">
        <f t="shared" si="13"/>
        <v>-2.35</v>
      </c>
      <c r="O66" s="62"/>
      <c r="P66" s="31">
        <f>O66+N66+M66+L66+I66+F66</f>
        <v>-10.186326370998298</v>
      </c>
      <c r="Q66" s="31">
        <f>SUM($P$36:P66)</f>
        <v>-799.81183290395916</v>
      </c>
      <c r="R66" s="83">
        <f t="shared" si="14"/>
        <v>-0.11497767877403847</v>
      </c>
      <c r="S66" s="31">
        <f>SUMPRODUCT($P$36:P66,$D$36:D66)/D66-Q66</f>
        <v>-82.803035303763863</v>
      </c>
      <c r="T66" s="31">
        <f t="shared" si="8"/>
        <v>466.87981797149951</v>
      </c>
      <c r="U66" s="31">
        <f t="shared" si="9"/>
        <v>1088.1198179714995</v>
      </c>
      <c r="V66" s="80" cm="1">
        <f t="array" ref="V66">IF($L$2&lt;&gt;1,IRR(IF(ROW($P$36:P66)=ROW(P66),P66+K66+J66,$P$36:P66),V65/12)*12,0)</f>
        <v>0.21937709051945387</v>
      </c>
      <c r="W66" s="83">
        <f>(1+V66/12)^(B66)-1</f>
        <v>0.72200591680766135</v>
      </c>
    </row>
    <row r="67" spans="2:23" x14ac:dyDescent="0.25">
      <c r="B67" s="33">
        <v>31</v>
      </c>
      <c r="C67" s="105">
        <f t="shared" si="7"/>
        <v>3.9789301544717048E-3</v>
      </c>
      <c r="D67" s="106">
        <f t="shared" si="10"/>
        <v>0.88417339307187259</v>
      </c>
      <c r="E67" s="60">
        <f>rate</f>
        <v>3.5145930840192463E-3</v>
      </c>
      <c r="F67" s="31">
        <f>IF(AND(B66&gt;=gracia,12*años+gracia-B66&gt;0,$L$2&lt;&gt;1),PMT(E66,12*años-B66+gracia,-J66),0)</f>
        <v>-21.169659704331629</v>
      </c>
      <c r="G67" s="31">
        <f>IF(AND(12*años+gracia-B66&gt;0,$L$2&lt;&gt;1),J66*E67,0)</f>
        <v>-14.657077157955433</v>
      </c>
      <c r="H67" s="31">
        <f>IF(AND(12*años+gracia-B66&gt;0,$L$2&lt;&gt;1),F67-G67,0)</f>
        <v>-6.5125825463761959</v>
      </c>
      <c r="I67" s="62"/>
      <c r="J67" s="61">
        <f>J66-H67-I67</f>
        <v>-4163.8356789922755</v>
      </c>
      <c r="K67" s="61">
        <f>K66*(1+$J$17)^(1/12)</f>
        <v>5463.5049791135743</v>
      </c>
      <c r="L67" s="31">
        <f t="shared" si="11"/>
        <v>16</v>
      </c>
      <c r="M67" s="31">
        <f t="shared" si="12"/>
        <v>-2.6666666666666661</v>
      </c>
      <c r="N67" s="31">
        <f t="shared" si="13"/>
        <v>-2.35</v>
      </c>
      <c r="O67" s="62"/>
      <c r="P67" s="31">
        <f>O67+N67+M67+L67+I67+F67</f>
        <v>-10.186326370998295</v>
      </c>
      <c r="Q67" s="31">
        <f>SUM($P$36:P67)</f>
        <v>-809.9981592749574</v>
      </c>
      <c r="R67" s="83">
        <f t="shared" si="14"/>
        <v>-0.11761585628428309</v>
      </c>
      <c r="S67" s="31">
        <f>SUMPRODUCT($P$36:P67,$D$36:D67)/D67-Q67</f>
        <v>-86.314898217660811</v>
      </c>
      <c r="T67" s="31">
        <f t="shared" si="8"/>
        <v>489.67114084634159</v>
      </c>
      <c r="U67" s="31">
        <f t="shared" si="9"/>
        <v>1110.9111408463416</v>
      </c>
      <c r="V67" s="80" cm="1">
        <f t="array" ref="V67">IF($L$2&lt;&gt;1,IRR(IF(ROW($P$36:P67)=ROW(P67),P67+K67+J67,$P$36:P67),V66/12)*12,0)</f>
        <v>0.21924910017316979</v>
      </c>
      <c r="W67" s="83">
        <f>(1+V67/12)^(B67)-1</f>
        <v>0.7529173599004908</v>
      </c>
    </row>
    <row r="68" spans="2:23" x14ac:dyDescent="0.25">
      <c r="B68" s="33">
        <v>32</v>
      </c>
      <c r="C68" s="105">
        <f t="shared" si="7"/>
        <v>3.9789301544717048E-3</v>
      </c>
      <c r="D68" s="106">
        <f t="shared" si="10"/>
        <v>0.88066927155118102</v>
      </c>
      <c r="E68" s="60">
        <f>rate</f>
        <v>3.5145930840192463E-3</v>
      </c>
      <c r="F68" s="31">
        <f>IF(AND(B67&gt;=gracia,12*años+gracia-B67&gt;0,$L$2&lt;&gt;1),PMT(E67,12*años-B67+gracia,-J67),0)</f>
        <v>-21.169659704331629</v>
      </c>
      <c r="G68" s="31">
        <f>IF(AND(12*años+gracia-B67&gt;0,$L$2&lt;&gt;1),J67*E68,0)</f>
        <v>-14.634188080378834</v>
      </c>
      <c r="H68" s="31">
        <f>IF(AND(12*años+gracia-B67&gt;0,$L$2&lt;&gt;1),F68-G68,0)</f>
        <v>-6.5354716239527946</v>
      </c>
      <c r="I68" s="62"/>
      <c r="J68" s="61">
        <f>J67-H68-I68</f>
        <v>-4157.3002073683228</v>
      </c>
      <c r="K68" s="61">
        <f>K67*(1+$J$17)^(1/12)</f>
        <v>5490.0988658634133</v>
      </c>
      <c r="L68" s="31">
        <f t="shared" si="11"/>
        <v>16</v>
      </c>
      <c r="M68" s="31">
        <f t="shared" si="12"/>
        <v>-2.6666666666666661</v>
      </c>
      <c r="N68" s="31">
        <f t="shared" si="13"/>
        <v>-2.35</v>
      </c>
      <c r="O68" s="62"/>
      <c r="P68" s="31">
        <f>O68+N68+M68+L68+I68+F68</f>
        <v>-10.186326370998295</v>
      </c>
      <c r="Q68" s="31">
        <f>SUM($P$36:P68)</f>
        <v>-820.18448564595565</v>
      </c>
      <c r="R68" s="83">
        <f t="shared" si="14"/>
        <v>-0.12008914770013741</v>
      </c>
      <c r="S68" s="31">
        <f>SUMPRODUCT($P$36:P68,$D$36:D68)/D68-Q68</f>
        <v>-89.881265269964956</v>
      </c>
      <c r="T68" s="31">
        <f t="shared" si="8"/>
        <v>512.61417284913477</v>
      </c>
      <c r="U68" s="31">
        <f t="shared" si="9"/>
        <v>1133.8541728491348</v>
      </c>
      <c r="V68" s="80" cm="1">
        <f t="array" ref="V68">IF($L$2&lt;&gt;1,IRR(IF(ROW($P$36:P68)=ROW(P68),P68+K68+J68,$P$36:P68),V67/12)*12,0)</f>
        <v>0.21898284667033519</v>
      </c>
      <c r="W68" s="83">
        <f>(1+V68/12)^(B68)-1</f>
        <v>0.7837003219429719</v>
      </c>
    </row>
    <row r="69" spans="2:23" x14ac:dyDescent="0.25">
      <c r="B69" s="33">
        <v>33</v>
      </c>
      <c r="C69" s="105">
        <f t="shared" si="7"/>
        <v>3.9789301544717048E-3</v>
      </c>
      <c r="D69" s="106">
        <f t="shared" si="10"/>
        <v>0.87717903742828718</v>
      </c>
      <c r="E69" s="60">
        <f>rate</f>
        <v>3.5145930840192463E-3</v>
      </c>
      <c r="F69" s="31">
        <f>IF(AND(B68&gt;=gracia,12*años+gracia-B68&gt;0,$L$2&lt;&gt;1),PMT(E68,12*años-B68+gracia,-J68),0)</f>
        <v>-21.169659704331632</v>
      </c>
      <c r="G69" s="31">
        <f>IF(AND(12*años+gracia-B68&gt;0,$L$2&lt;&gt;1),J68*E69,0)</f>
        <v>-14.611218557008486</v>
      </c>
      <c r="H69" s="31">
        <f>IF(AND(12*años+gracia-B68&gt;0,$L$2&lt;&gt;1),F69-G69,0)</f>
        <v>-6.5584411473231459</v>
      </c>
      <c r="I69" s="62"/>
      <c r="J69" s="61">
        <f>J68-H69-I69</f>
        <v>-4150.741766221</v>
      </c>
      <c r="K69" s="61">
        <f>K68*(1+$J$17)^(1/12)</f>
        <v>5516.8221997017363</v>
      </c>
      <c r="L69" s="31">
        <f t="shared" si="11"/>
        <v>16</v>
      </c>
      <c r="M69" s="31">
        <f t="shared" si="12"/>
        <v>-2.6666666666666661</v>
      </c>
      <c r="N69" s="31">
        <f t="shared" si="13"/>
        <v>-2.35</v>
      </c>
      <c r="O69" s="62"/>
      <c r="P69" s="31">
        <f>O69+N69+M69+L69+I69+F69</f>
        <v>-10.186326370998298</v>
      </c>
      <c r="Q69" s="31">
        <f>SUM($P$36:P69)</f>
        <v>-830.37081201695389</v>
      </c>
      <c r="R69" s="83">
        <f t="shared" si="14"/>
        <v>-0.12241254266654603</v>
      </c>
      <c r="S69" s="31">
        <f>SUMPRODUCT($P$36:P69,$D$36:D69)/D69-Q69</f>
        <v>-93.502353328836193</v>
      </c>
      <c r="T69" s="31">
        <f t="shared" si="8"/>
        <v>535.70962146378224</v>
      </c>
      <c r="U69" s="31">
        <f t="shared" si="9"/>
        <v>1156.9496214637823</v>
      </c>
      <c r="V69" s="80" cm="1">
        <f t="array" ref="V69">IF($L$2&lt;&gt;1,IRR(IF(ROW($P$36:P69)=ROW(P69),P69+K69+J69,$P$36:P69),V68/12)*12,0)</f>
        <v>0.21859714215074533</v>
      </c>
      <c r="W69" s="83">
        <f>(1+V69/12)^(B69)-1</f>
        <v>0.81435930983870719</v>
      </c>
    </row>
    <row r="70" spans="2:23" x14ac:dyDescent="0.25">
      <c r="B70" s="33">
        <v>34</v>
      </c>
      <c r="C70" s="105">
        <f t="shared" si="7"/>
        <v>3.9789301544717048E-3</v>
      </c>
      <c r="D70" s="106">
        <f t="shared" si="10"/>
        <v>0.87370263566519757</v>
      </c>
      <c r="E70" s="60">
        <f>rate</f>
        <v>3.5145930840192463E-3</v>
      </c>
      <c r="F70" s="31">
        <f>IF(AND(B69&gt;=gracia,12*años+gracia-B69&gt;0,$L$2&lt;&gt;1),PMT(E69,12*años-B69+gracia,-J69),0)</f>
        <v>-21.169659704331632</v>
      </c>
      <c r="G70" s="31">
        <f>IF(AND(12*años+gracia-B69&gt;0,$L$2&lt;&gt;1),J69*E70,0)</f>
        <v>-14.588168305110157</v>
      </c>
      <c r="H70" s="31">
        <f>IF(AND(12*años+gracia-B69&gt;0,$L$2&lt;&gt;1),F70-G70,0)</f>
        <v>-6.5814913992214752</v>
      </c>
      <c r="I70" s="62"/>
      <c r="J70" s="61">
        <f>J69-H70-I70</f>
        <v>-4144.1602748217783</v>
      </c>
      <c r="K70" s="61">
        <f>K69*(1+$J$17)^(1/12)</f>
        <v>5543.6756107187912</v>
      </c>
      <c r="L70" s="31">
        <f t="shared" si="11"/>
        <v>16</v>
      </c>
      <c r="M70" s="31">
        <f t="shared" si="12"/>
        <v>-2.6666666666666661</v>
      </c>
      <c r="N70" s="31">
        <f t="shared" si="13"/>
        <v>-2.35</v>
      </c>
      <c r="O70" s="62"/>
      <c r="P70" s="31">
        <f>O70+N70+M70+L70+I70+F70</f>
        <v>-10.186326370998298</v>
      </c>
      <c r="Q70" s="31">
        <f>SUM($P$36:P70)</f>
        <v>-840.55713838795214</v>
      </c>
      <c r="R70" s="83">
        <f t="shared" si="14"/>
        <v>-0.12459926734081293</v>
      </c>
      <c r="S70" s="31">
        <f>SUMPRODUCT($P$36:P70,$D$36:D70)/D70-Q70</f>
        <v>-97.178380125337753</v>
      </c>
      <c r="T70" s="31">
        <f t="shared" si="8"/>
        <v>558.95819750906048</v>
      </c>
      <c r="U70" s="31">
        <f t="shared" si="9"/>
        <v>1180.1981975090605</v>
      </c>
      <c r="V70" s="80" cm="1">
        <f t="array" ref="V70">IF($L$2&lt;&gt;1,IRR(IF(ROW($P$36:P70)=ROW(P70),P70+K70+J70,$P$36:P70),V69/12)*12,0)</f>
        <v>0.21810822796383089</v>
      </c>
      <c r="W70" s="83">
        <f>(1+V70/12)^(B70)-1</f>
        <v>0.84489876150012733</v>
      </c>
    </row>
    <row r="71" spans="2:23" x14ac:dyDescent="0.25">
      <c r="B71" s="33">
        <v>35</v>
      </c>
      <c r="C71" s="105">
        <f t="shared" si="7"/>
        <v>3.9789301544717048E-3</v>
      </c>
      <c r="D71" s="106">
        <f t="shared" si="10"/>
        <v>0.87024001144204299</v>
      </c>
      <c r="E71" s="60">
        <f>rate</f>
        <v>3.5145930840192463E-3</v>
      </c>
      <c r="F71" s="31">
        <f>IF(AND(B70&gt;=gracia,12*años+gracia-B70&gt;0,$L$2&lt;&gt;1),PMT(E70,12*años-B70+gracia,-J70),0)</f>
        <v>-21.169659704331632</v>
      </c>
      <c r="G71" s="31">
        <f>IF(AND(12*años+gracia-B70&gt;0,$L$2&lt;&gt;1),J70*E71,0)</f>
        <v>-14.565037040955922</v>
      </c>
      <c r="H71" s="31">
        <f>IF(AND(12*años+gracia-B70&gt;0,$L$2&lt;&gt;1),F71-G71,0)</f>
        <v>-6.6046226633757108</v>
      </c>
      <c r="I71" s="62"/>
      <c r="J71" s="61">
        <f>J70-H71-I71</f>
        <v>-4137.5556521584031</v>
      </c>
      <c r="K71" s="61">
        <f>K70*(1+$J$17)^(1/12)</f>
        <v>5570.6597320718238</v>
      </c>
      <c r="L71" s="31">
        <f t="shared" si="11"/>
        <v>16</v>
      </c>
      <c r="M71" s="31">
        <f t="shared" si="12"/>
        <v>-2.6666666666666661</v>
      </c>
      <c r="N71" s="31">
        <f t="shared" si="13"/>
        <v>-2.35</v>
      </c>
      <c r="O71" s="62"/>
      <c r="P71" s="31">
        <f>O71+N71+M71+L71+I71+F71</f>
        <v>-10.186326370998298</v>
      </c>
      <c r="Q71" s="31">
        <f>SUM($P$36:P71)</f>
        <v>-850.74346475895038</v>
      </c>
      <c r="R71" s="83">
        <f t="shared" si="14"/>
        <v>-0.12666103631940748</v>
      </c>
      <c r="S71" s="31">
        <f>SUMPRODUCT($P$36:P71,$D$36:D71)/D71-Q71</f>
        <v>-100.90956425686954</v>
      </c>
      <c r="T71" s="31">
        <f t="shared" si="8"/>
        <v>582.36061515447</v>
      </c>
      <c r="U71" s="31">
        <f t="shared" si="9"/>
        <v>1203.60061515447</v>
      </c>
      <c r="V71" s="80" cm="1">
        <f t="array" ref="V71">IF($L$2&lt;&gt;1,IRR(IF(ROW($P$36:P71)=ROW(P71),P71+K71+J71,$P$36:P71),V70/12)*12,0)</f>
        <v>0.21753016613286036</v>
      </c>
      <c r="W71" s="83">
        <f>(1+V71/12)^(B71)-1</f>
        <v>0.87532303743215678</v>
      </c>
    </row>
    <row r="72" spans="2:23" x14ac:dyDescent="0.25">
      <c r="B72" s="33">
        <v>36</v>
      </c>
      <c r="C72" s="105">
        <f t="shared" si="7"/>
        <v>3.9789301544717048E-3</v>
      </c>
      <c r="D72" s="106">
        <f t="shared" si="10"/>
        <v>0.86679111015621446</v>
      </c>
      <c r="E72" s="60">
        <f>rate</f>
        <v>3.5145930840192463E-3</v>
      </c>
      <c r="F72" s="31">
        <f>IF(AND(B71&gt;=gracia,12*años+gracia-B71&gt;0,$L$2&lt;&gt;1),PMT(E71,12*años-B71+gracia,-J71),0)</f>
        <v>-21.169659704331636</v>
      </c>
      <c r="G72" s="31">
        <f>IF(AND(12*años+gracia-B71&gt;0,$L$2&lt;&gt;1),J71*E72,0)</f>
        <v>-14.541824479820665</v>
      </c>
      <c r="H72" s="31">
        <f>IF(AND(12*años+gracia-B71&gt;0,$L$2&lt;&gt;1),F72-G72,0)</f>
        <v>-6.6278352245109708</v>
      </c>
      <c r="I72" s="62"/>
      <c r="J72" s="61">
        <f>J71-H72-I72</f>
        <v>-4130.9278169338922</v>
      </c>
      <c r="K72" s="61">
        <f>K71*(1+$J$17)^(1/12)</f>
        <v>5597.7752000000037</v>
      </c>
      <c r="L72" s="31">
        <f t="shared" si="11"/>
        <v>16</v>
      </c>
      <c r="M72" s="31">
        <f t="shared" si="12"/>
        <v>-2.6666666666666661</v>
      </c>
      <c r="N72" s="31">
        <f t="shared" si="13"/>
        <v>-2.35</v>
      </c>
      <c r="O72" s="62"/>
      <c r="P72" s="31">
        <f>O72+N72+M72+L72+I72+F72</f>
        <v>-10.186326370998302</v>
      </c>
      <c r="Q72" s="31">
        <f>SUM($P$36:P72)</f>
        <v>-860.92979112994863</v>
      </c>
      <c r="R72" s="83">
        <f t="shared" si="14"/>
        <v>-0.12860826257696897</v>
      </c>
      <c r="S72" s="31">
        <f>SUMPRODUCT($P$36:P72,$D$36:D72)/D72-Q72</f>
        <v>-104.69612519061502</v>
      </c>
      <c r="T72" s="31">
        <f t="shared" si="8"/>
        <v>605.91759193616235</v>
      </c>
      <c r="U72" s="31">
        <f t="shared" si="9"/>
        <v>1227.1575919361624</v>
      </c>
      <c r="V72" s="80" cm="1">
        <f t="array" ref="V72">IF($L$2&lt;&gt;1,IRR(IF(ROW($P$36:P72)=ROW(P72),P72+K72+J72,$P$36:P72),V71/12)*12,0)</f>
        <v>0.21687516393726103</v>
      </c>
      <c r="W72" s="83">
        <f>(1+V72/12)^(B72)-1</f>
        <v>0.90563641483860491</v>
      </c>
    </row>
    <row r="73" spans="2:23" x14ac:dyDescent="0.25">
      <c r="B73" s="33">
        <v>37</v>
      </c>
      <c r="C73" s="105">
        <f t="shared" si="7"/>
        <v>3.9789301544717048E-3</v>
      </c>
      <c r="D73" s="106">
        <f t="shared" si="10"/>
        <v>0.86335587742150166</v>
      </c>
      <c r="E73" s="60">
        <f>rate</f>
        <v>3.5145930840192463E-3</v>
      </c>
      <c r="F73" s="31">
        <f>IF(AND(B72&gt;=gracia,12*años+gracia-B72&gt;0,$L$2&lt;&gt;1),PMT(E72,12*años-B72+gracia,-J72),0)</f>
        <v>-21.169659704331636</v>
      </c>
      <c r="G73" s="31">
        <f>IF(AND(12*años+gracia-B72&gt;0,$L$2&lt;&gt;1),J72*E73,0)</f>
        <v>-14.51853033597858</v>
      </c>
      <c r="H73" s="31">
        <f>IF(AND(12*años+gracia-B72&gt;0,$L$2&lt;&gt;1),F73-G73,0)</f>
        <v>-6.6511293683530557</v>
      </c>
      <c r="I73" s="62"/>
      <c r="J73" s="61">
        <f>J72-H73-I73</f>
        <v>-4124.2766875655389</v>
      </c>
      <c r="K73" s="61">
        <f>K72*(1+$J$17)^(1/12)</f>
        <v>5625.0226538394272</v>
      </c>
      <c r="L73" s="31">
        <f t="shared" si="11"/>
        <v>16</v>
      </c>
      <c r="M73" s="31">
        <f t="shared" si="12"/>
        <v>-2.6666666666666661</v>
      </c>
      <c r="N73" s="31">
        <f t="shared" si="13"/>
        <v>-2.35</v>
      </c>
      <c r="O73" s="62"/>
      <c r="P73" s="31">
        <f>O73+N73+M73+L73+I73+F73</f>
        <v>-10.186326370998302</v>
      </c>
      <c r="Q73" s="31">
        <f>SUM($P$36:P73)</f>
        <v>-871.11611750094698</v>
      </c>
      <c r="R73" s="83">
        <f t="shared" si="14"/>
        <v>-0.13045023336114883</v>
      </c>
      <c r="S73" s="31">
        <f>SUMPRODUCT($P$36:P73,$D$36:D73)/D73-Q73</f>
        <v>-108.53828326700227</v>
      </c>
      <c r="T73" s="31">
        <f t="shared" si="8"/>
        <v>629.62984877294184</v>
      </c>
      <c r="U73" s="31">
        <f t="shared" si="9"/>
        <v>1250.8698487729419</v>
      </c>
      <c r="V73" s="80" cm="1">
        <f t="array" ref="V73">IF($L$2&lt;&gt;1,IRR(IF(ROW($P$36:P73)=ROW(P73),P73+K73+J73,$P$36:P73),V72/12)*12,0)</f>
        <v>0.21615384432201257</v>
      </c>
      <c r="W73" s="83">
        <f>(1+V73/12)^(B73)-1</f>
        <v>0.9358430836841265</v>
      </c>
    </row>
    <row r="74" spans="2:23" x14ac:dyDescent="0.25">
      <c r="B74" s="33">
        <v>38</v>
      </c>
      <c r="C74" s="105">
        <f t="shared" si="7"/>
        <v>3.9789301544717048E-3</v>
      </c>
      <c r="D74" s="106">
        <f t="shared" si="10"/>
        <v>0.85993425906723575</v>
      </c>
      <c r="E74" s="60">
        <f>rate</f>
        <v>3.5145930840192463E-3</v>
      </c>
      <c r="F74" s="31">
        <f>IF(AND(B73&gt;=gracia,12*años+gracia-B73&gt;0,$L$2&lt;&gt;1),PMT(E73,12*años-B73+gracia,-J73),0)</f>
        <v>-21.169659704331636</v>
      </c>
      <c r="G74" s="31">
        <f>IF(AND(12*años+gracia-B73&gt;0,$L$2&lt;&gt;1),J73*E74,0)</f>
        <v>-14.49515432269965</v>
      </c>
      <c r="H74" s="31">
        <f>IF(AND(12*años+gracia-B73&gt;0,$L$2&lt;&gt;1),F74-G74,0)</f>
        <v>-6.6745053816319864</v>
      </c>
      <c r="I74" s="62"/>
      <c r="J74" s="61">
        <f>J73-H74-I74</f>
        <v>-4117.6021821839067</v>
      </c>
      <c r="K74" s="61">
        <f>K73*(1+$J$17)^(1/12)</f>
        <v>5652.4027360381906</v>
      </c>
      <c r="L74" s="31">
        <f t="shared" si="11"/>
        <v>16</v>
      </c>
      <c r="M74" s="31">
        <f t="shared" si="12"/>
        <v>-2.6666666666666661</v>
      </c>
      <c r="N74" s="31">
        <f t="shared" si="13"/>
        <v>-2.35</v>
      </c>
      <c r="O74" s="62"/>
      <c r="P74" s="31">
        <f>O74+N74+M74+L74+I74+F74</f>
        <v>-10.186326370998302</v>
      </c>
      <c r="Q74" s="31">
        <f>SUM($P$36:P74)</f>
        <v>-881.30244387194534</v>
      </c>
      <c r="R74" s="83">
        <f t="shared" si="14"/>
        <v>-0.13219525831458237</v>
      </c>
      <c r="S74" s="31">
        <f>SUMPRODUCT($P$36:P74,$D$36:D74)/D74-Q74</f>
        <v>-112.43625970317873</v>
      </c>
      <c r="T74" s="31">
        <f t="shared" si="8"/>
        <v>653.49810998233897</v>
      </c>
      <c r="U74" s="31">
        <f t="shared" si="9"/>
        <v>1274.738109982339</v>
      </c>
      <c r="V74" s="80" cm="1">
        <f t="array" ref="V74">IF($L$2&lt;&gt;1,IRR(IF(ROW($P$36:P74)=ROW(P74),P74+K74+J74,$P$36:P74),V73/12)*12,0)</f>
        <v>0.21537547218674113</v>
      </c>
      <c r="W74" s="83">
        <f>(1+V74/12)^(B74)-1</f>
        <v>0.96594714427321815</v>
      </c>
    </row>
    <row r="75" spans="2:23" x14ac:dyDescent="0.25">
      <c r="B75" s="33">
        <v>39</v>
      </c>
      <c r="C75" s="105">
        <f t="shared" si="7"/>
        <v>3.9789301544717048E-3</v>
      </c>
      <c r="D75" s="106">
        <f t="shared" si="10"/>
        <v>0.85652620113743494</v>
      </c>
      <c r="E75" s="60">
        <f>rate</f>
        <v>3.5145930840192463E-3</v>
      </c>
      <c r="F75" s="31">
        <f>IF(AND(B74&gt;=gracia,12*años+gracia-B74&gt;0,$L$2&lt;&gt;1),PMT(E74,12*años-B74+gracia,-J74),0)</f>
        <v>-21.169659704331632</v>
      </c>
      <c r="G75" s="31">
        <f>IF(AND(12*años+gracia-B74&gt;0,$L$2&lt;&gt;1),J74*E75,0)</f>
        <v>-14.471696152246116</v>
      </c>
      <c r="H75" s="31">
        <f>IF(AND(12*años+gracia-B74&gt;0,$L$2&lt;&gt;1),F75-G75,0)</f>
        <v>-6.6979635520855165</v>
      </c>
      <c r="I75" s="62"/>
      <c r="J75" s="61">
        <f>J74-H75-I75</f>
        <v>-4110.9042186318211</v>
      </c>
      <c r="K75" s="61">
        <f>K74*(1+$J$17)^(1/12)</f>
        <v>5679.9160921715402</v>
      </c>
      <c r="L75" s="31">
        <f t="shared" si="11"/>
        <v>16</v>
      </c>
      <c r="M75" s="31">
        <f t="shared" si="12"/>
        <v>-2.6666666666666661</v>
      </c>
      <c r="N75" s="31">
        <f t="shared" si="13"/>
        <v>-2.35</v>
      </c>
      <c r="O75" s="62"/>
      <c r="P75" s="31">
        <f>O75+N75+M75+L75+I75+F75</f>
        <v>-10.186326370998298</v>
      </c>
      <c r="Q75" s="31">
        <f>SUM($P$36:P75)</f>
        <v>-891.48877024294359</v>
      </c>
      <c r="R75" s="83">
        <f t="shared" si="14"/>
        <v>-0.13385079480886544</v>
      </c>
      <c r="S75" s="31">
        <f>SUMPRODUCT($P$36:P75,$D$36:D75)/D75-Q75</f>
        <v>-116.39027659649946</v>
      </c>
      <c r="T75" s="31">
        <f t="shared" si="8"/>
        <v>677.52310329677584</v>
      </c>
      <c r="U75" s="31">
        <f t="shared" si="9"/>
        <v>1298.7631032967759</v>
      </c>
      <c r="V75" s="80" cm="1">
        <f t="array" ref="V75">IF($L$2&lt;&gt;1,IRR(IF(ROW($P$36:P75)=ROW(P75),P75+K75+J75,$P$36:P75),V74/12)*12,0)</f>
        <v>0.21454814455509563</v>
      </c>
      <c r="W75" s="83">
        <f>(1+V75/12)^(B75)-1</f>
        <v>0.9959526060054551</v>
      </c>
    </row>
    <row r="76" spans="2:23" x14ac:dyDescent="0.25">
      <c r="B76" s="33">
        <v>40</v>
      </c>
      <c r="C76" s="105">
        <f t="shared" si="7"/>
        <v>3.9789301544717048E-3</v>
      </c>
      <c r="D76" s="106">
        <f t="shared" si="10"/>
        <v>0.8531316498899536</v>
      </c>
      <c r="E76" s="60">
        <f>rate</f>
        <v>3.5145930840192463E-3</v>
      </c>
      <c r="F76" s="31">
        <f>IF(AND(B75&gt;=gracia,12*años+gracia-B75&gt;0,$L$2&lt;&gt;1),PMT(E75,12*años-B75+gracia,-J75),0)</f>
        <v>-21.169659704331632</v>
      </c>
      <c r="G76" s="31">
        <f>IF(AND(12*años+gracia-B75&gt;0,$L$2&lt;&gt;1),J75*E76,0)</f>
        <v>-14.448155535868942</v>
      </c>
      <c r="H76" s="31">
        <f>IF(AND(12*años+gracia-B75&gt;0,$L$2&lt;&gt;1),F76-G76,0)</f>
        <v>-6.7215041684626904</v>
      </c>
      <c r="I76" s="62"/>
      <c r="J76" s="61">
        <f>J75-H76-I76</f>
        <v>-4104.182714463358</v>
      </c>
      <c r="K76" s="61">
        <f>K75*(1+$J$17)^(1/12)</f>
        <v>5707.5633709570911</v>
      </c>
      <c r="L76" s="31">
        <f t="shared" si="11"/>
        <v>16</v>
      </c>
      <c r="M76" s="31">
        <f t="shared" si="12"/>
        <v>-2.6666666666666661</v>
      </c>
      <c r="N76" s="31">
        <f t="shared" si="13"/>
        <v>-2.35</v>
      </c>
      <c r="O76" s="62"/>
      <c r="P76" s="31">
        <f>O76+N76+M76+L76+I76+F76</f>
        <v>-10.186326370998298</v>
      </c>
      <c r="Q76" s="31">
        <f>SUM($P$36:P76)</f>
        <v>-901.67509661394183</v>
      </c>
      <c r="R76" s="83">
        <f t="shared" si="14"/>
        <v>-0.13542355447843432</v>
      </c>
      <c r="S76" s="31">
        <f>SUMPRODUCT($P$36:P76,$D$36:D76)/D76-Q76</f>
        <v>-120.40055692802923</v>
      </c>
      <c r="T76" s="31">
        <f t="shared" si="8"/>
        <v>701.70555987979151</v>
      </c>
      <c r="U76" s="31">
        <f t="shared" si="9"/>
        <v>1322.9455598797915</v>
      </c>
      <c r="V76" s="80" cm="1">
        <f t="array" ref="V76">IF($L$2&lt;&gt;1,IRR(IF(ROW($P$36:P76)=ROW(P76),P76+K76+J76,$P$36:P76),V75/12)*12,0)</f>
        <v>0.21367895102913081</v>
      </c>
      <c r="W76" s="83">
        <f>(1+V76/12)^(B76)-1</f>
        <v>1.0258633870409044</v>
      </c>
    </row>
    <row r="77" spans="2:23" x14ac:dyDescent="0.25">
      <c r="B77" s="33">
        <v>41</v>
      </c>
      <c r="C77" s="105">
        <f t="shared" si="7"/>
        <v>3.9789301544717048E-3</v>
      </c>
      <c r="D77" s="106">
        <f t="shared" si="10"/>
        <v>0.84975055179563497</v>
      </c>
      <c r="E77" s="60">
        <f>rate</f>
        <v>3.5145930840192463E-3</v>
      </c>
      <c r="F77" s="31">
        <f>IF(AND(B76&gt;=gracia,12*años+gracia-B76&gt;0,$L$2&lt;&gt;1),PMT(E76,12*años-B76+gracia,-J76),0)</f>
        <v>-21.169659704331629</v>
      </c>
      <c r="G77" s="31">
        <f>IF(AND(12*años+gracia-B76&gt;0,$L$2&lt;&gt;1),J76*E77,0)</f>
        <v>-14.424532183804255</v>
      </c>
      <c r="H77" s="31">
        <f>IF(AND(12*años+gracia-B76&gt;0,$L$2&lt;&gt;1),F77-G77,0)</f>
        <v>-6.7451275205273742</v>
      </c>
      <c r="I77" s="62"/>
      <c r="J77" s="61">
        <f>J76-H77-I77</f>
        <v>-4097.4375869428304</v>
      </c>
      <c r="K77" s="61">
        <f>K76*(1+$J$17)^(1/12)</f>
        <v>5735.3452242701242</v>
      </c>
      <c r="L77" s="31">
        <f t="shared" si="11"/>
        <v>16</v>
      </c>
      <c r="M77" s="31">
        <f t="shared" si="12"/>
        <v>-2.6666666666666661</v>
      </c>
      <c r="N77" s="31">
        <f t="shared" si="13"/>
        <v>-2.35</v>
      </c>
      <c r="O77" s="62"/>
      <c r="P77" s="31">
        <f>O77+N77+M77+L77+I77+F77</f>
        <v>-10.186326370998295</v>
      </c>
      <c r="Q77" s="31">
        <f>SUM($P$36:P77)</f>
        <v>-911.86142298494008</v>
      </c>
      <c r="R77" s="83">
        <f t="shared" si="14"/>
        <v>-0.13691959416412183</v>
      </c>
      <c r="S77" s="31">
        <f>SUMPRODUCT($P$36:P77,$D$36:D77)/D77-Q77</f>
        <v>-124.46732456605889</v>
      </c>
      <c r="T77" s="31">
        <f t="shared" si="8"/>
        <v>726.04621434235378</v>
      </c>
      <c r="U77" s="31">
        <f t="shared" si="9"/>
        <v>1347.2862143423538</v>
      </c>
      <c r="V77" s="80" cm="1">
        <f t="array" ref="V77">IF($L$2&lt;&gt;1,IRR(IF(ROW($P$36:P77)=ROW(P77),P77+K77+J77,$P$36:P77),V76/12)*12,0)</f>
        <v>0.21277410968414667</v>
      </c>
      <c r="W77" s="83">
        <f>(1+V77/12)^(B77)-1</f>
        <v>1.055683314667291</v>
      </c>
    </row>
    <row r="78" spans="2:23" x14ac:dyDescent="0.25">
      <c r="B78" s="33">
        <v>42</v>
      </c>
      <c r="C78" s="105">
        <f t="shared" si="7"/>
        <v>3.9789301544717048E-3</v>
      </c>
      <c r="D78" s="106">
        <f t="shared" si="10"/>
        <v>0.84638285353746689</v>
      </c>
      <c r="E78" s="60">
        <f>rate</f>
        <v>3.5145930840192463E-3</v>
      </c>
      <c r="F78" s="31">
        <f>IF(AND(B77&gt;=gracia,12*años+gracia-B77&gt;0,$L$2&lt;&gt;1),PMT(E77,12*años-B77+gracia,-J77),0)</f>
        <v>-21.169659704331629</v>
      </c>
      <c r="G78" s="31">
        <f>IF(AND(12*años+gracia-B77&gt;0,$L$2&lt;&gt;1),J77*E78,0)</f>
        <v>-14.400825805269781</v>
      </c>
      <c r="H78" s="31">
        <f>IF(AND(12*años+gracia-B77&gt;0,$L$2&lt;&gt;1),F78-G78,0)</f>
        <v>-6.768833899061848</v>
      </c>
      <c r="I78" s="62"/>
      <c r="J78" s="61">
        <f>J77-H78-I78</f>
        <v>-4090.6687530437684</v>
      </c>
      <c r="K78" s="61">
        <f>K77*(1+$J$17)^(1/12)</f>
        <v>5763.2623071589578</v>
      </c>
      <c r="L78" s="31">
        <f t="shared" si="11"/>
        <v>16</v>
      </c>
      <c r="M78" s="31">
        <f t="shared" si="12"/>
        <v>-2.6666666666666661</v>
      </c>
      <c r="N78" s="31">
        <f t="shared" si="13"/>
        <v>-2.35</v>
      </c>
      <c r="O78" s="62"/>
      <c r="P78" s="31">
        <f>O78+N78+M78+L78+I78+F78</f>
        <v>-10.186326370998295</v>
      </c>
      <c r="Q78" s="31">
        <f>SUM($P$36:P78)</f>
        <v>-922.04774935593832</v>
      </c>
      <c r="R78" s="83">
        <f t="shared" si="14"/>
        <v>-0.13834439386477659</v>
      </c>
      <c r="S78" s="31">
        <f>SUMPRODUCT($P$36:P78,$D$36:D78)/D78-Q78</f>
        <v>-128.59080426963556</v>
      </c>
      <c r="T78" s="31">
        <f t="shared" si="8"/>
        <v>750.54580475925104</v>
      </c>
      <c r="U78" s="31">
        <f t="shared" si="9"/>
        <v>1371.7858047592511</v>
      </c>
      <c r="V78" s="80" cm="1">
        <f t="array" ref="V78">IF($L$2&lt;&gt;1,IRR(IF(ROW($P$36:P78)=ROW(P78),P78+K78+J78,$P$36:P78),V77/12)*12,0)</f>
        <v>0.21183908257565509</v>
      </c>
      <c r="W78" s="83">
        <f>(1+V78/12)^(B78)-1</f>
        <v>1.0854161262052151</v>
      </c>
    </row>
    <row r="79" spans="2:23" x14ac:dyDescent="0.25">
      <c r="B79" s="33">
        <v>43</v>
      </c>
      <c r="C79" s="105">
        <f t="shared" si="7"/>
        <v>3.9789301544717048E-3</v>
      </c>
      <c r="D79" s="106">
        <f t="shared" si="10"/>
        <v>0.84302850200974122</v>
      </c>
      <c r="E79" s="60">
        <f>rate</f>
        <v>3.5145930840192463E-3</v>
      </c>
      <c r="F79" s="31">
        <f>IF(AND(B78&gt;=gracia,12*años+gracia-B78&gt;0,$L$2&lt;&gt;1),PMT(E78,12*años-B78+gracia,-J78),0)</f>
        <v>-21.169659704331629</v>
      </c>
      <c r="G79" s="31">
        <f>IF(AND(12*años+gracia-B78&gt;0,$L$2&lt;&gt;1),J78*E79,0)</f>
        <v>-14.377036108461263</v>
      </c>
      <c r="H79" s="31">
        <f>IF(AND(12*años+gracia-B78&gt;0,$L$2&lt;&gt;1),F79-G79,0)</f>
        <v>-6.7926235958703653</v>
      </c>
      <c r="I79" s="62"/>
      <c r="J79" s="61">
        <f>J78-H79-I79</f>
        <v>-4083.8761294478982</v>
      </c>
      <c r="K79" s="61">
        <f>K78*(1+$J$17)^(1/12)</f>
        <v>5791.3152778603899</v>
      </c>
      <c r="L79" s="31">
        <f t="shared" si="11"/>
        <v>16</v>
      </c>
      <c r="M79" s="31">
        <f t="shared" si="12"/>
        <v>-2.6666666666666661</v>
      </c>
      <c r="N79" s="31">
        <f t="shared" si="13"/>
        <v>-2.35</v>
      </c>
      <c r="O79" s="62"/>
      <c r="P79" s="31">
        <f>O79+N79+M79+L79+I79+F79</f>
        <v>-10.186326370998295</v>
      </c>
      <c r="Q79" s="31">
        <f>SUM($P$36:P79)</f>
        <v>-932.23407572693657</v>
      </c>
      <c r="R79" s="83">
        <f t="shared" si="14"/>
        <v>-0.13970292381191252</v>
      </c>
      <c r="S79" s="31">
        <f>SUMPRODUCT($P$36:P79,$D$36:D79)/D79-Q79</f>
        <v>-132.77122169210691</v>
      </c>
      <c r="T79" s="31">
        <f t="shared" si="8"/>
        <v>775.20507268555502</v>
      </c>
      <c r="U79" s="31">
        <f t="shared" si="9"/>
        <v>1396.445072685555</v>
      </c>
      <c r="V79" s="80" cm="1">
        <f t="array" ref="V79">IF($L$2&lt;&gt;1,IRR(IF(ROW($P$36:P79)=ROW(P79),P79+K79+J79,$P$36:P79),V78/12)*12,0)</f>
        <v>0.21087867425082152</v>
      </c>
      <c r="W79" s="83">
        <f>(1+V79/12)^(B79)-1</f>
        <v>1.11506547032225</v>
      </c>
    </row>
    <row r="80" spans="2:23" x14ac:dyDescent="0.25">
      <c r="B80" s="33">
        <v>44</v>
      </c>
      <c r="C80" s="105">
        <f t="shared" si="7"/>
        <v>3.9789301544717048E-3</v>
      </c>
      <c r="D80" s="106">
        <f t="shared" si="10"/>
        <v>0.8396874443172162</v>
      </c>
      <c r="E80" s="60">
        <f>rate</f>
        <v>3.5145930840192463E-3</v>
      </c>
      <c r="F80" s="31">
        <f>IF(AND(B79&gt;=gracia,12*años+gracia-B79&gt;0,$L$2&lt;&gt;1),PMT(E79,12*años-B79+gracia,-J79),0)</f>
        <v>-21.169659704331629</v>
      </c>
      <c r="G80" s="31">
        <f>IF(AND(12*años+gracia-B79&gt;0,$L$2&lt;&gt;1),J79*E80,0)</f>
        <v>-14.353162800548871</v>
      </c>
      <c r="H80" s="31">
        <f>IF(AND(12*años+gracia-B79&gt;0,$L$2&lt;&gt;1),F80-G80,0)</f>
        <v>-6.8164969037827579</v>
      </c>
      <c r="I80" s="62"/>
      <c r="J80" s="61">
        <f>J79-H80-I80</f>
        <v>-4077.0596325441156</v>
      </c>
      <c r="K80" s="61">
        <f>K79*(1+$J$17)^(1/12)</f>
        <v>5819.5047978152188</v>
      </c>
      <c r="L80" s="31">
        <f t="shared" si="11"/>
        <v>16</v>
      </c>
      <c r="M80" s="31">
        <f t="shared" si="12"/>
        <v>-2.6666666666666661</v>
      </c>
      <c r="N80" s="31">
        <f t="shared" si="13"/>
        <v>-2.35</v>
      </c>
      <c r="O80" s="62"/>
      <c r="P80" s="31">
        <f>O80+N80+M80+L80+I80+F80</f>
        <v>-10.186326370998295</v>
      </c>
      <c r="Q80" s="31">
        <f>SUM($P$36:P80)</f>
        <v>-942.42040209793481</v>
      </c>
      <c r="R80" s="83">
        <f t="shared" si="14"/>
        <v>-0.14099970239781498</v>
      </c>
      <c r="S80" s="31">
        <f>SUMPRODUCT($P$36:P80,$D$36:D80)/D80-Q80</f>
        <v>-137.0088033846796</v>
      </c>
      <c r="T80" s="31">
        <f t="shared" si="8"/>
        <v>800.02476317316814</v>
      </c>
      <c r="U80" s="31">
        <f t="shared" si="9"/>
        <v>1421.2647631731681</v>
      </c>
      <c r="V80" s="80" cm="1">
        <f t="array" ref="V80">IF($L$2&lt;&gt;1,IRR(IF(ROW($P$36:P80)=ROW(P80),P80+K80+J80,$P$36:P80),V79/12)*12,0)</f>
        <v>0.20989711603603922</v>
      </c>
      <c r="W80" s="83">
        <f>(1+V80/12)^(B80)-1</f>
        <v>1.1446349086540781</v>
      </c>
    </row>
    <row r="81" spans="2:24" x14ac:dyDescent="0.25">
      <c r="B81" s="33">
        <v>45</v>
      </c>
      <c r="C81" s="105">
        <f t="shared" si="7"/>
        <v>3.9789301544717048E-3</v>
      </c>
      <c r="D81" s="106">
        <f t="shared" si="10"/>
        <v>0.83635962777428241</v>
      </c>
      <c r="E81" s="60">
        <f>rate</f>
        <v>3.5145930840192463E-3</v>
      </c>
      <c r="F81" s="31">
        <f>IF(AND(B80&gt;=gracia,12*años+gracia-B80&gt;0,$L$2&lt;&gt;1),PMT(E80,12*años-B80+gracia,-J80),0)</f>
        <v>-21.169659704331632</v>
      </c>
      <c r="G81" s="31">
        <f>IF(AND(12*años+gracia-B80&gt;0,$L$2&lt;&gt;1),J80*E81,0)</f>
        <v>-14.329205587673599</v>
      </c>
      <c r="H81" s="31">
        <f>IF(AND(12*años+gracia-B80&gt;0,$L$2&lt;&gt;1),F81-G81,0)</f>
        <v>-6.8404541166580337</v>
      </c>
      <c r="I81" s="62"/>
      <c r="J81" s="61">
        <f>J80-H81-I81</f>
        <v>-4070.2191784274578</v>
      </c>
      <c r="K81" s="61">
        <f>K80*(1+$J$17)^(1/12)</f>
        <v>5847.8315316838407</v>
      </c>
      <c r="L81" s="31">
        <f t="shared" si="11"/>
        <v>16</v>
      </c>
      <c r="M81" s="31">
        <f t="shared" si="12"/>
        <v>-2.6666666666666661</v>
      </c>
      <c r="N81" s="31">
        <f t="shared" si="13"/>
        <v>-2.35</v>
      </c>
      <c r="O81" s="62"/>
      <c r="P81" s="31">
        <f>O81+N81+M81+L81+I81+F81</f>
        <v>-10.186326370998298</v>
      </c>
      <c r="Q81" s="31">
        <f>SUM($P$36:P81)</f>
        <v>-952.60672846893306</v>
      </c>
      <c r="R81" s="83">
        <f t="shared" si="14"/>
        <v>-0.14223884637989956</v>
      </c>
      <c r="S81" s="31">
        <f>SUMPRODUCT($P$36:P81,$D$36:D81)/D81-Q81</f>
        <v>-141.30377679999185</v>
      </c>
      <c r="T81" s="31">
        <f t="shared" si="8"/>
        <v>825.00562478744996</v>
      </c>
      <c r="U81" s="31">
        <f t="shared" si="9"/>
        <v>1446.24562478745</v>
      </c>
      <c r="V81" s="80" cm="1">
        <f t="array" ref="V81">IF($L$2&lt;&gt;1,IRR(IF(ROW($P$36:P81)=ROW(P81),P81+K81+J81,$P$36:P81),V80/12)*12,0)</f>
        <v>0.2088981383753552</v>
      </c>
      <c r="W81" s="83">
        <f>(1+V81/12)^(B81)-1</f>
        <v>1.1741279176519632</v>
      </c>
    </row>
    <row r="82" spans="2:24" x14ac:dyDescent="0.25">
      <c r="B82" s="33">
        <v>46</v>
      </c>
      <c r="C82" s="105">
        <f t="shared" si="7"/>
        <v>3.9789301544717048E-3</v>
      </c>
      <c r="D82" s="106">
        <f t="shared" si="10"/>
        <v>0.83304499990413194</v>
      </c>
      <c r="E82" s="60">
        <f>rate</f>
        <v>3.5145930840192463E-3</v>
      </c>
      <c r="F82" s="31">
        <f>IF(AND(B81&gt;=gracia,12*años+gracia-B81&gt;0,$L$2&lt;&gt;1),PMT(E81,12*años-B81+gracia,-J81),0)</f>
        <v>-21.169659704331629</v>
      </c>
      <c r="G82" s="31">
        <f>IF(AND(12*años+gracia-B81&gt;0,$L$2&lt;&gt;1),J81*E82,0)</f>
        <v>-14.305164174943641</v>
      </c>
      <c r="H82" s="31">
        <f>IF(AND(12*años+gracia-B81&gt;0,$L$2&lt;&gt;1),F82-G82,0)</f>
        <v>-6.8644955293879875</v>
      </c>
      <c r="I82" s="62"/>
      <c r="J82" s="61">
        <f>J81-H82-I82</f>
        <v>-4063.3546828980698</v>
      </c>
      <c r="K82" s="61">
        <f>K81*(1+$J$17)^(1/12)</f>
        <v>5876.2961473619189</v>
      </c>
      <c r="L82" s="31">
        <f t="shared" si="11"/>
        <v>16</v>
      </c>
      <c r="M82" s="31">
        <f t="shared" si="12"/>
        <v>-2.6666666666666661</v>
      </c>
      <c r="N82" s="31">
        <f t="shared" si="13"/>
        <v>-2.35</v>
      </c>
      <c r="O82" s="62"/>
      <c r="P82" s="31">
        <f>O82+N82+M82+L82+I82+F82</f>
        <v>-10.186326370998295</v>
      </c>
      <c r="Q82" s="31">
        <f>SUM($P$36:P82)</f>
        <v>-962.7930548399313</v>
      </c>
      <c r="R82" s="83">
        <f t="shared" si="14"/>
        <v>-0.14342411453667614</v>
      </c>
      <c r="S82" s="31">
        <f>SUMPRODUCT($P$36:P82,$D$36:D82)/D82-Q82</f>
        <v>-145.65637029569984</v>
      </c>
      <c r="T82" s="31">
        <f t="shared" si="8"/>
        <v>850.14840962391736</v>
      </c>
      <c r="U82" s="31">
        <f t="shared" si="9"/>
        <v>1471.3884096239174</v>
      </c>
      <c r="V82" s="80" cm="1">
        <f t="array" ref="V82">IF($L$2&lt;&gt;1,IRR(IF(ROW($P$36:P82)=ROW(P82),P82+K82+J82,$P$36:P82),V81/12)*12,0)</f>
        <v>0.20788503309457607</v>
      </c>
      <c r="W82" s="83">
        <f>(1+V82/12)^(B82)-1</f>
        <v>1.2035478905927706</v>
      </c>
    </row>
    <row r="83" spans="2:24" x14ac:dyDescent="0.25">
      <c r="B83" s="33">
        <v>47</v>
      </c>
      <c r="C83" s="105">
        <f t="shared" si="7"/>
        <v>3.9789301544717048E-3</v>
      </c>
      <c r="D83" s="106">
        <f t="shared" si="10"/>
        <v>0.8297435084379311</v>
      </c>
      <c r="E83" s="60">
        <f>rate</f>
        <v>3.5145930840192463E-3</v>
      </c>
      <c r="F83" s="31">
        <f>IF(AND(B82&gt;=gracia,12*años+gracia-B82&gt;0,$L$2&lt;&gt;1),PMT(E82,12*años-B82+gracia,-J82),0)</f>
        <v>-21.169659704331629</v>
      </c>
      <c r="G83" s="31">
        <f>IF(AND(12*años+gracia-B82&gt;0,$L$2&lt;&gt;1),J82*E83,0)</f>
        <v>-14.281038266430773</v>
      </c>
      <c r="H83" s="31">
        <f>IF(AND(12*años+gracia-B82&gt;0,$L$2&lt;&gt;1),F83-G83,0)</f>
        <v>-6.8886214379008557</v>
      </c>
      <c r="I83" s="62"/>
      <c r="J83" s="61">
        <f>J82-H83-I83</f>
        <v>-4056.4660614601689</v>
      </c>
      <c r="K83" s="61">
        <f>K82*(1+$J$17)^(1/12)</f>
        <v>5904.8993159961337</v>
      </c>
      <c r="L83" s="31">
        <f t="shared" si="11"/>
        <v>16</v>
      </c>
      <c r="M83" s="31">
        <f t="shared" si="12"/>
        <v>-2.6666666666666661</v>
      </c>
      <c r="N83" s="31">
        <f t="shared" si="13"/>
        <v>-2.35</v>
      </c>
      <c r="O83" s="62"/>
      <c r="P83" s="31">
        <f>O83+N83+M83+L83+I83+F83</f>
        <v>-10.186326370998295</v>
      </c>
      <c r="Q83" s="31">
        <f>SUM($P$36:P83)</f>
        <v>-972.97938121092955</v>
      </c>
      <c r="R83" s="83">
        <f t="shared" si="14"/>
        <v>-0.14455894575061115</v>
      </c>
      <c r="S83" s="31">
        <f>SUMPRODUCT($P$36:P83,$D$36:D83)/D83-Q83</f>
        <v>-150.06681313807883</v>
      </c>
      <c r="T83" s="31">
        <f t="shared" si="8"/>
        <v>875.4538733250356</v>
      </c>
      <c r="U83" s="31">
        <f t="shared" si="9"/>
        <v>1496.6938733250356</v>
      </c>
      <c r="V83" s="80" cm="1">
        <f t="array" ref="V83">IF($L$2&lt;&gt;1,IRR(IF(ROW($P$36:P83)=ROW(P83),P83+K83+J83,$P$36:P83),V82/12)*12,0)</f>
        <v>0.20686070709949522</v>
      </c>
      <c r="W83" s="83">
        <f>(1+V83/12)^(B83)-1</f>
        <v>1.2328981393300316</v>
      </c>
    </row>
    <row r="84" spans="2:24" x14ac:dyDescent="0.25">
      <c r="B84" s="33">
        <v>48</v>
      </c>
      <c r="C84" s="105">
        <f t="shared" si="7"/>
        <v>3.9789301544717048E-3</v>
      </c>
      <c r="D84" s="106">
        <f t="shared" si="10"/>
        <v>0.82645510131399591</v>
      </c>
      <c r="E84" s="60">
        <f>rate</f>
        <v>3.5145930840192463E-3</v>
      </c>
      <c r="F84" s="31">
        <f>IF(AND(B83&gt;=gracia,12*años+gracia-B83&gt;0,$L$2&lt;&gt;1),PMT(E83,12*años-B83+gracia,-J83),0)</f>
        <v>-21.169659704331629</v>
      </c>
      <c r="G84" s="31">
        <f>IF(AND(12*años+gracia-B83&gt;0,$L$2&lt;&gt;1),J83*E84,0)</f>
        <v>-14.2568275651667</v>
      </c>
      <c r="H84" s="31">
        <f>IF(AND(12*años+gracia-B83&gt;0,$L$2&lt;&gt;1),F84-G84,0)</f>
        <v>-6.9128321391649283</v>
      </c>
      <c r="I84" s="62"/>
      <c r="J84" s="61">
        <f>J83-H84-I84</f>
        <v>-4049.553229321004</v>
      </c>
      <c r="K84" s="61">
        <f>K83*(1+$J$17)^(1/12)</f>
        <v>5933.6417120000042</v>
      </c>
      <c r="L84" s="31">
        <f t="shared" si="11"/>
        <v>16</v>
      </c>
      <c r="M84" s="31">
        <f t="shared" si="12"/>
        <v>-2.6666666666666661</v>
      </c>
      <c r="N84" s="31">
        <f t="shared" si="13"/>
        <v>-2.35</v>
      </c>
      <c r="O84" s="62"/>
      <c r="P84" s="31">
        <f>O84+N84+M84+L84+I84+F84</f>
        <v>-10.186326370998295</v>
      </c>
      <c r="Q84" s="31">
        <f>SUM($P$36:P84)</f>
        <v>-983.16570758192779</v>
      </c>
      <c r="R84" s="83">
        <f t="shared" si="14"/>
        <v>-0.1456464923306322</v>
      </c>
      <c r="S84" s="31">
        <f>SUMPRODUCT($P$36:P84,$D$36:D84)/D84-Q84</f>
        <v>-154.53533550563884</v>
      </c>
      <c r="T84" s="31">
        <f t="shared" si="8"/>
        <v>900.92277509707219</v>
      </c>
      <c r="U84" s="31">
        <f t="shared" si="9"/>
        <v>1522.1627750970722</v>
      </c>
      <c r="V84" s="80" cm="1">
        <f t="array" ref="V84">IF($L$2&lt;&gt;1,IRR(IF(ROW($P$36:P84)=ROW(P84),P84+K84+J84,$P$36:P84),V83/12)*12,0)</f>
        <v>0.20582772905124447</v>
      </c>
      <c r="W84" s="83">
        <f>(1+V84/12)^(B84)-1</f>
        <v>1.26218189791522</v>
      </c>
    </row>
    <row r="85" spans="2:24" x14ac:dyDescent="0.25">
      <c r="B85" s="33">
        <v>49</v>
      </c>
      <c r="C85" s="105">
        <f t="shared" si="7"/>
        <v>3.9789301544717048E-3</v>
      </c>
      <c r="D85" s="106">
        <f t="shared" si="10"/>
        <v>0.82317972667697115</v>
      </c>
      <c r="E85" s="60">
        <f>rate</f>
        <v>3.5145930840192463E-3</v>
      </c>
      <c r="F85" s="31">
        <f>IF(AND(B84&gt;=gracia,12*años+gracia-B84&gt;0,$L$2&lt;&gt;1),PMT(E84,12*años-B84+gracia,-J84),0)</f>
        <v>-21.169659704331629</v>
      </c>
      <c r="G85" s="31">
        <f>IF(AND(12*años+gracia-B84&gt;0,$L$2&lt;&gt;1),J84*E85,0)</f>
        <v>-14.232531773139405</v>
      </c>
      <c r="H85" s="31">
        <f>IF(AND(12*años+gracia-B84&gt;0,$L$2&lt;&gt;1),F85-G85,0)</f>
        <v>-6.937127931192224</v>
      </c>
      <c r="I85" s="62"/>
      <c r="J85" s="61">
        <f>J84-H85-I85</f>
        <v>-4042.6161013898118</v>
      </c>
      <c r="K85" s="61">
        <f>K84*(1+$J$17)^(1/12)</f>
        <v>5962.524013069793</v>
      </c>
      <c r="L85" s="31">
        <f t="shared" si="11"/>
        <v>16</v>
      </c>
      <c r="M85" s="31">
        <f t="shared" si="12"/>
        <v>-2.6666666666666661</v>
      </c>
      <c r="N85" s="31">
        <f t="shared" si="13"/>
        <v>-2.35</v>
      </c>
      <c r="O85" s="62"/>
      <c r="P85" s="31">
        <f>O85+N85+M85+L85+I85+F85</f>
        <v>-10.186326370998295</v>
      </c>
      <c r="Q85" s="31">
        <f>SUM($P$36:P85)</f>
        <v>-993.35203395292604</v>
      </c>
      <c r="R85" s="83">
        <f t="shared" si="14"/>
        <v>-0.14668964925432587</v>
      </c>
      <c r="S85" s="31">
        <f>SUMPRODUCT($P$36:P85,$D$36:D85)/D85-Q85</f>
        <v>-159.06216849275404</v>
      </c>
      <c r="T85" s="31">
        <f t="shared" si="8"/>
        <v>926.5558777270553</v>
      </c>
      <c r="U85" s="31">
        <f t="shared" si="9"/>
        <v>1547.7958777270553</v>
      </c>
      <c r="V85" s="80" cm="1">
        <f t="array" ref="V85">IF($L$2&lt;&gt;1,IRR(IF(ROW($P$36:P85)=ROW(P85),P85+K85+J85,$P$36:P85),V84/12)*12,0)</f>
        <v>0.20478836947102153</v>
      </c>
      <c r="W85" s="83">
        <f>(1+V85/12)^(B85)-1</f>
        <v>1.2914023227729521</v>
      </c>
    </row>
    <row r="86" spans="2:24" x14ac:dyDescent="0.25">
      <c r="B86" s="33">
        <v>50</v>
      </c>
      <c r="C86" s="105">
        <f t="shared" si="7"/>
        <v>3.9789301544717048E-3</v>
      </c>
      <c r="D86" s="106">
        <f t="shared" si="10"/>
        <v>0.81991733287701274</v>
      </c>
      <c r="E86" s="60">
        <f>rate</f>
        <v>3.5145930840192463E-3</v>
      </c>
      <c r="F86" s="31">
        <f>IF(AND(B85&gt;=gracia,12*años+gracia-B85&gt;0,$L$2&lt;&gt;1),PMT(E85,12*años-B85+gracia,-J85),0)</f>
        <v>-21.169659704331629</v>
      </c>
      <c r="G86" s="31">
        <f>IF(AND(12*años+gracia-B85&gt;0,$L$2&lt;&gt;1),J85*E86,0)</f>
        <v>-14.208150591289481</v>
      </c>
      <c r="H86" s="31">
        <f>IF(AND(12*años+gracia-B85&gt;0,$L$2&lt;&gt;1),F86-G86,0)</f>
        <v>-6.9615091130421476</v>
      </c>
      <c r="I86" s="62"/>
      <c r="J86" s="61">
        <f>J85-H86-I86</f>
        <v>-4035.6545922767696</v>
      </c>
      <c r="K86" s="61">
        <f>K85*(1+$J$17)^(1/12)</f>
        <v>5991.546900200482</v>
      </c>
      <c r="L86" s="31">
        <f t="shared" si="11"/>
        <v>16</v>
      </c>
      <c r="M86" s="31">
        <f t="shared" si="12"/>
        <v>-2.6666666666666661</v>
      </c>
      <c r="N86" s="31">
        <f t="shared" si="13"/>
        <v>-2.35</v>
      </c>
      <c r="O86" s="62"/>
      <c r="P86" s="31">
        <f>O86+N86+M86+L86+I86+F86</f>
        <v>-10.186326370998295</v>
      </c>
      <c r="Q86" s="31">
        <f>SUM($P$36:P86)</f>
        <v>-1003.5383603239243</v>
      </c>
      <c r="R86" s="83">
        <f t="shared" si="14"/>
        <v>-0.14769107990107178</v>
      </c>
      <c r="S86" s="31">
        <f>SUMPRODUCT($P$36:P86,$D$36:D86)/D86-Q86</f>
        <v>-163.64754411330659</v>
      </c>
      <c r="T86" s="31">
        <f t="shared" si="8"/>
        <v>952.35394759978863</v>
      </c>
      <c r="U86" s="31">
        <f t="shared" si="9"/>
        <v>1573.5939475997886</v>
      </c>
      <c r="V86" s="80" cm="1">
        <f t="array" ref="V86">IF($L$2&lt;&gt;1,IRR(IF(ROW($P$36:P86)=ROW(P86),P86+K86+J86,$P$36:P86),V85/12)*12,0)</f>
        <v>0.2037446359878814</v>
      </c>
      <c r="W86" s="83">
        <f>(1+V86/12)^(B86)-1</f>
        <v>1.3205624962743081</v>
      </c>
    </row>
    <row r="87" spans="2:24" x14ac:dyDescent="0.25">
      <c r="B87" s="33">
        <v>51</v>
      </c>
      <c r="C87" s="105">
        <f t="shared" si="7"/>
        <v>3.9789301544717048E-3</v>
      </c>
      <c r="D87" s="106">
        <f t="shared" si="10"/>
        <v>0.81666786846897343</v>
      </c>
      <c r="E87" s="60">
        <f>rate</f>
        <v>3.5145930840192463E-3</v>
      </c>
      <c r="F87" s="31">
        <f>IF(AND(B86&gt;=gracia,12*años+gracia-B86&gt;0,$L$2&lt;&gt;1),PMT(E86,12*años-B86+gracia,-J86),0)</f>
        <v>-21.169659704331629</v>
      </c>
      <c r="G87" s="31">
        <f>IF(AND(12*años+gracia-B86&gt;0,$L$2&lt;&gt;1),J86*E87,0)</f>
        <v>-14.183683719506446</v>
      </c>
      <c r="H87" s="31">
        <f>IF(AND(12*años+gracia-B86&gt;0,$L$2&lt;&gt;1),F87-G87,0)</f>
        <v>-6.985975984825183</v>
      </c>
      <c r="I87" s="62"/>
      <c r="J87" s="61">
        <f>J86-H87-I87</f>
        <v>-4028.6686162919445</v>
      </c>
      <c r="K87" s="61">
        <f>K86*(1+$J$17)^(1/12)</f>
        <v>6020.711057701832</v>
      </c>
      <c r="L87" s="31">
        <f t="shared" si="11"/>
        <v>16</v>
      </c>
      <c r="M87" s="31">
        <f t="shared" si="12"/>
        <v>-2.6666666666666661</v>
      </c>
      <c r="N87" s="31">
        <f t="shared" si="13"/>
        <v>-2.35</v>
      </c>
      <c r="O87" s="62"/>
      <c r="P87" s="31">
        <f>O87+N87+M87+L87+I87+F87</f>
        <v>-10.186326370998295</v>
      </c>
      <c r="Q87" s="31">
        <f>SUM($P$36:P87)</f>
        <v>-1013.7246866949225</v>
      </c>
      <c r="R87" s="83">
        <f t="shared" si="14"/>
        <v>-0.14865323875774922</v>
      </c>
      <c r="S87" s="31">
        <f>SUMPRODUCT($P$36:P87,$D$36:D87)/D87-Q87</f>
        <v>-168.29169530434626</v>
      </c>
      <c r="T87" s="31">
        <f t="shared" si="8"/>
        <v>978.3177547149653</v>
      </c>
      <c r="U87" s="31">
        <f t="shared" si="9"/>
        <v>1599.5577547149653</v>
      </c>
      <c r="V87" s="80" cm="1">
        <f t="array" ref="V87">IF($L$2&lt;&gt;1,IRR(IF(ROW($P$36:P87)=ROW(P87),P87+K87+J87,$P$36:P87),V86/12)*12,0)</f>
        <v>0.20269830388614896</v>
      </c>
      <c r="W87" s="83">
        <f>(1+V87/12)^(B87)-1</f>
        <v>1.3496654286651508</v>
      </c>
    </row>
    <row r="88" spans="2:24" x14ac:dyDescent="0.25">
      <c r="B88" s="33">
        <v>52</v>
      </c>
      <c r="C88" s="105">
        <f t="shared" si="7"/>
        <v>3.9789301544717048E-3</v>
      </c>
      <c r="D88" s="106">
        <f t="shared" si="10"/>
        <v>0.81343128221159111</v>
      </c>
      <c r="E88" s="60">
        <f>rate</f>
        <v>3.5145930840192463E-3</v>
      </c>
      <c r="F88" s="31">
        <f>IF(AND(B87&gt;=gracia,12*años+gracia-B87&gt;0,$L$2&lt;&gt;1),PMT(E87,12*años-B87+gracia,-J87),0)</f>
        <v>-21.169659704331629</v>
      </c>
      <c r="G88" s="31">
        <f>IF(AND(12*años+gracia-B87&gt;0,$L$2&lt;&gt;1),J87*E88,0)</f>
        <v>-14.159130856625055</v>
      </c>
      <c r="H88" s="31">
        <f>IF(AND(12*años+gracia-B87&gt;0,$L$2&lt;&gt;1),F88-G88,0)</f>
        <v>-7.0105288477065741</v>
      </c>
      <c r="I88" s="62"/>
      <c r="J88" s="61">
        <f>J87-H88-I88</f>
        <v>-4021.6580874442379</v>
      </c>
      <c r="K88" s="61">
        <f>K87*(1+$J$17)^(1/12)</f>
        <v>6050.0171732145154</v>
      </c>
      <c r="L88" s="31">
        <f t="shared" si="11"/>
        <v>16</v>
      </c>
      <c r="M88" s="31">
        <f t="shared" si="12"/>
        <v>-2.6666666666666661</v>
      </c>
      <c r="N88" s="31">
        <f t="shared" si="13"/>
        <v>-2.35</v>
      </c>
      <c r="O88" s="62"/>
      <c r="P88" s="31">
        <f>O88+N88+M88+L88+I88+F88</f>
        <v>-10.186326370998295</v>
      </c>
      <c r="Q88" s="31">
        <f>SUM($P$36:P88)</f>
        <v>-1023.9110130659208</v>
      </c>
      <c r="R88" s="83">
        <f t="shared" si="14"/>
        <v>-0.14957839150455446</v>
      </c>
      <c r="S88" s="31">
        <f>SUMPRODUCT($P$36:P88,$D$36:D88)/D88-Q88</f>
        <v>-172.99485592976271</v>
      </c>
      <c r="T88" s="31">
        <f t="shared" si="8"/>
        <v>1004.4480727043565</v>
      </c>
      <c r="U88" s="31">
        <f t="shared" si="9"/>
        <v>1625.6880727043565</v>
      </c>
      <c r="V88" s="80" cm="1">
        <f t="array" ref="V88">IF($L$2&lt;&gt;1,IRR(IF(ROW($P$36:P88)=ROW(P88),P88+K88+J88,$P$36:P88),V87/12)*12,0)</f>
        <v>0.20165094282361995</v>
      </c>
      <c r="W88" s="83">
        <f>(1+V88/12)^(B88)-1</f>
        <v>1.37871406029425</v>
      </c>
    </row>
    <row r="89" spans="2:24" x14ac:dyDescent="0.25">
      <c r="B89" s="33">
        <v>53</v>
      </c>
      <c r="C89" s="105">
        <f t="shared" si="7"/>
        <v>3.9789301544717048E-3</v>
      </c>
      <c r="D89" s="106">
        <f t="shared" si="10"/>
        <v>0.81020752306668131</v>
      </c>
      <c r="E89" s="60">
        <f>rate</f>
        <v>3.5145930840192463E-3</v>
      </c>
      <c r="F89" s="31">
        <f>IF(AND(B88&gt;=gracia,12*años+gracia-B88&gt;0,$L$2&lt;&gt;1),PMT(E88,12*años-B88+gracia,-J88),0)</f>
        <v>-21.169659704331632</v>
      </c>
      <c r="G89" s="31">
        <f>IF(AND(12*años+gracia-B88&gt;0,$L$2&lt;&gt;1),J88*E89,0)</f>
        <v>-14.134491700421588</v>
      </c>
      <c r="H89" s="31">
        <f>IF(AND(12*años+gracia-B88&gt;0,$L$2&lt;&gt;1),F89-G89,0)</f>
        <v>-7.0351680039100444</v>
      </c>
      <c r="I89" s="62"/>
      <c r="J89" s="61">
        <f>J88-H89-I89</f>
        <v>-4014.6229194403277</v>
      </c>
      <c r="K89" s="61">
        <f>K88*(1+$J$17)^(1/12)</f>
        <v>6079.4659377263306</v>
      </c>
      <c r="L89" s="31">
        <f t="shared" si="11"/>
        <v>16</v>
      </c>
      <c r="M89" s="31">
        <f t="shared" si="12"/>
        <v>-2.6666666666666661</v>
      </c>
      <c r="N89" s="31">
        <f t="shared" si="13"/>
        <v>-2.35</v>
      </c>
      <c r="O89" s="62"/>
      <c r="P89" s="31">
        <f>O89+N89+M89+L89+I89+F89</f>
        <v>-10.186326370998298</v>
      </c>
      <c r="Q89" s="31">
        <f>SUM($P$36:P89)</f>
        <v>-1034.0973394369191</v>
      </c>
      <c r="R89" s="83">
        <f t="shared" si="14"/>
        <v>-0.15046863282695197</v>
      </c>
      <c r="S89" s="31">
        <f>SUMPRODUCT($P$36:P89,$D$36:D89)/D89-Q89</f>
        <v>-177.75726078397383</v>
      </c>
      <c r="T89" s="31">
        <f t="shared" si="8"/>
        <v>1030.7456788490836</v>
      </c>
      <c r="U89" s="31">
        <f t="shared" si="9"/>
        <v>1651.9856788490836</v>
      </c>
      <c r="V89" s="80" cm="1">
        <f t="array" ref="V89">IF($L$2&lt;&gt;1,IRR(IF(ROW($P$36:P89)=ROW(P89),P89+K89+J89,$P$36:P89),V88/12)*12,0)</f>
        <v>0.20060394021998285</v>
      </c>
      <c r="W89" s="83">
        <f>(1+V89/12)^(B89)-1</f>
        <v>1.4077112638116493</v>
      </c>
    </row>
    <row r="90" spans="2:24" x14ac:dyDescent="0.25">
      <c r="B90" s="33">
        <v>54</v>
      </c>
      <c r="C90" s="105">
        <f t="shared" si="7"/>
        <v>3.9789301544717048E-3</v>
      </c>
      <c r="D90" s="106">
        <f t="shared" si="10"/>
        <v>0.80699654019833178</v>
      </c>
      <c r="E90" s="60">
        <f>rate</f>
        <v>3.5145930840192463E-3</v>
      </c>
      <c r="F90" s="31">
        <f>IF(AND(B89&gt;=gracia,12*años+gracia-B89&gt;0,$L$2&lt;&gt;1),PMT(E89,12*años-B89+gracia,-J89),0)</f>
        <v>-21.169659704331629</v>
      </c>
      <c r="G90" s="31">
        <f>IF(AND(12*años+gracia-B89&gt;0,$L$2&lt;&gt;1),J89*E90,0)</f>
        <v>-14.109765947610132</v>
      </c>
      <c r="H90" s="31">
        <f>IF(AND(12*años+gracia-B89&gt;0,$L$2&lt;&gt;1),F90-G90,0)</f>
        <v>-7.0598937567214968</v>
      </c>
      <c r="I90" s="62"/>
      <c r="J90" s="61">
        <f>J89-H90-I90</f>
        <v>-4007.5630256836062</v>
      </c>
      <c r="K90" s="61">
        <f>K89*(1+$J$17)^(1/12)</f>
        <v>6109.0580455884938</v>
      </c>
      <c r="L90" s="31">
        <f t="shared" si="11"/>
        <v>16</v>
      </c>
      <c r="M90" s="31">
        <f t="shared" si="12"/>
        <v>-2.6666666666666661</v>
      </c>
      <c r="N90" s="31">
        <f t="shared" si="13"/>
        <v>-2.35</v>
      </c>
      <c r="O90" s="62"/>
      <c r="P90" s="31">
        <f>O90+N90+M90+L90+I90+F90</f>
        <v>-10.186326370998295</v>
      </c>
      <c r="Q90" s="31">
        <f>SUM($P$36:P90)</f>
        <v>-1044.2836658079175</v>
      </c>
      <c r="R90" s="83">
        <f t="shared" si="14"/>
        <v>-0.15132590224851997</v>
      </c>
      <c r="S90" s="31">
        <f>SUMPRODUCT($P$36:P90,$D$36:D90)/D90-Q90</f>
        <v>-182.57914559562801</v>
      </c>
      <c r="T90" s="31">
        <f t="shared" si="8"/>
        <v>1057.2113540969704</v>
      </c>
      <c r="U90" s="31">
        <f t="shared" si="9"/>
        <v>1678.4513540969704</v>
      </c>
      <c r="V90" s="80" cm="1">
        <f t="array" ref="V90">IF($L$2&lt;&gt;1,IRR(IF(ROW($P$36:P90)=ROW(P90),P90+K90+J90,$P$36:P90),V89/12)*12,0)</f>
        <v>0.19955852177111044</v>
      </c>
      <c r="W90" s="83">
        <f>(1+V90/12)^(B90)-1</f>
        <v>1.4366598463269056</v>
      </c>
    </row>
    <row r="91" spans="2:24" x14ac:dyDescent="0.25">
      <c r="B91" s="33">
        <v>55</v>
      </c>
      <c r="C91" s="105">
        <f t="shared" si="7"/>
        <v>3.9789301544717048E-3</v>
      </c>
      <c r="D91" s="106">
        <f t="shared" si="10"/>
        <v>0.80379828297210154</v>
      </c>
      <c r="E91" s="60">
        <f>rate</f>
        <v>3.5145930840192463E-3</v>
      </c>
      <c r="F91" s="31">
        <f>IF(AND(B90&gt;=gracia,12*años+gracia-B90&gt;0,$L$2&lt;&gt;1),PMT(E90,12*años-B90+gracia,-J90),0)</f>
        <v>-21.169659704331632</v>
      </c>
      <c r="G91" s="31">
        <f>IF(AND(12*años+gracia-B90&gt;0,$L$2&lt;&gt;1),J90*E91,0)</f>
        <v>-14.084953293838847</v>
      </c>
      <c r="H91" s="31">
        <f>IF(AND(12*años+gracia-B90&gt;0,$L$2&lt;&gt;1),F91-G91,0)</f>
        <v>-7.0847064104927853</v>
      </c>
      <c r="I91" s="62"/>
      <c r="J91" s="61">
        <f>J90-H91-I91</f>
        <v>-4000.4783192731134</v>
      </c>
      <c r="K91" s="61">
        <f>K90*(1+$J$17)^(1/12)</f>
        <v>6138.7941945320117</v>
      </c>
      <c r="L91" s="31">
        <f t="shared" si="11"/>
        <v>16</v>
      </c>
      <c r="M91" s="31">
        <f t="shared" si="12"/>
        <v>-2.6666666666666661</v>
      </c>
      <c r="N91" s="31">
        <f t="shared" si="13"/>
        <v>-2.35</v>
      </c>
      <c r="O91" s="62"/>
      <c r="P91" s="31">
        <f>O91+N91+M91+L91+I91+F91</f>
        <v>-10.186326370998298</v>
      </c>
      <c r="Q91" s="31">
        <f>SUM($P$36:P91)</f>
        <v>-1054.4699921789158</v>
      </c>
      <c r="R91" s="83">
        <f t="shared" si="14"/>
        <v>-0.15215199823657641</v>
      </c>
      <c r="S91" s="31">
        <f>SUMPRODUCT($P$36:P91,$D$36:D91)/D91-Q91</f>
        <v>-187.46074703132149</v>
      </c>
      <c r="T91" s="31">
        <f t="shared" si="8"/>
        <v>1083.8458830799827</v>
      </c>
      <c r="U91" s="31">
        <f t="shared" si="9"/>
        <v>1705.0858830799828</v>
      </c>
      <c r="V91" s="80" cm="1">
        <f t="array" ref="V91">IF($L$2&lt;&gt;1,IRR(IF(ROW($P$36:P91)=ROW(P91),P91+K91+J91,$P$36:P91),V90/12)*12,0)</f>
        <v>0.19851576947673255</v>
      </c>
      <c r="W91" s="83">
        <f>(1+V91/12)^(B91)-1</f>
        <v>1.4655625515217303</v>
      </c>
    </row>
    <row r="92" spans="2:24" x14ac:dyDescent="0.25">
      <c r="B92" s="33">
        <v>56</v>
      </c>
      <c r="C92" s="105">
        <f t="shared" si="7"/>
        <v>3.9789301544717048E-3</v>
      </c>
      <c r="D92" s="106">
        <f t="shared" si="10"/>
        <v>0.80061270095422177</v>
      </c>
      <c r="E92" s="60">
        <f>rate</f>
        <v>3.5145930840192463E-3</v>
      </c>
      <c r="F92" s="31">
        <f>IF(AND(B91&gt;=gracia,12*años+gracia-B91&gt;0,$L$2&lt;&gt;1),PMT(E91,12*años-B91+gracia,-J91),0)</f>
        <v>-21.169659704331629</v>
      </c>
      <c r="G92" s="31">
        <f>IF(AND(12*años+gracia-B91&gt;0,$L$2&lt;&gt;1),J91*E92,0)</f>
        <v>-14.060053433686223</v>
      </c>
      <c r="H92" s="31">
        <f>IF(AND(12*años+gracia-B91&gt;0,$L$2&lt;&gt;1),F92-G92,0)</f>
        <v>-7.109606270645406</v>
      </c>
      <c r="I92" s="62"/>
      <c r="J92" s="61">
        <f>J91-H92-I92</f>
        <v>-3993.3687130024678</v>
      </c>
      <c r="K92" s="61">
        <f>K91*(1+$J$17)^(1/12)</f>
        <v>6168.6750856841309</v>
      </c>
      <c r="L92" s="31">
        <f t="shared" si="11"/>
        <v>16</v>
      </c>
      <c r="M92" s="31">
        <f t="shared" si="12"/>
        <v>-2.6666666666666661</v>
      </c>
      <c r="N92" s="31">
        <f t="shared" si="13"/>
        <v>-2.35</v>
      </c>
      <c r="O92" s="62"/>
      <c r="P92" s="31">
        <f>O92+N92+M92+L92+I92+F92</f>
        <v>-10.186326370998295</v>
      </c>
      <c r="Q92" s="31">
        <f>SUM($P$36:P92)</f>
        <v>-1064.6563185499142</v>
      </c>
      <c r="R92" s="83">
        <f t="shared" si="14"/>
        <v>-0.15294859079648798</v>
      </c>
      <c r="S92" s="31">
        <f>SUMPRODUCT($P$36:P92,$D$36:D92)/D92-Q92</f>
        <v>-192.40230269933022</v>
      </c>
      <c r="T92" s="31">
        <f t="shared" si="8"/>
        <v>1110.6500541317491</v>
      </c>
      <c r="U92" s="31">
        <f t="shared" si="9"/>
        <v>1731.8900541317491</v>
      </c>
      <c r="V92" s="80" cm="1">
        <f t="array" ref="V92">IF($L$2&lt;&gt;1,IRR(IF(ROW($P$36:P92)=ROW(P92),P92+K92+J92,$P$36:P92),V91/12)*12,0)</f>
        <v>0.19747663751172428</v>
      </c>
      <c r="W92" s="83">
        <f>(1+V92/12)^(B92)-1</f>
        <v>1.494422061711715</v>
      </c>
    </row>
    <row r="93" spans="2:24" x14ac:dyDescent="0.25">
      <c r="B93" s="33">
        <v>57</v>
      </c>
      <c r="C93" s="105">
        <f t="shared" si="7"/>
        <v>3.9789301544717048E-3</v>
      </c>
      <c r="D93" s="106">
        <f t="shared" si="10"/>
        <v>0.79743974391080086</v>
      </c>
      <c r="E93" s="60">
        <f>rate</f>
        <v>3.5145930840192463E-3</v>
      </c>
      <c r="F93" s="31">
        <f>IF(AND(B92&gt;=gracia,12*años+gracia-B92&gt;0,$L$2&lt;&gt;1),PMT(E92,12*años-B92+gracia,-J92),0)</f>
        <v>-21.169659704331629</v>
      </c>
      <c r="G93" s="31">
        <f>IF(AND(12*años+gracia-B92&gt;0,$L$2&lt;&gt;1),J92*E93,0)</f>
        <v>-14.035066060657311</v>
      </c>
      <c r="H93" s="31">
        <f>IF(AND(12*años+gracia-B92&gt;0,$L$2&lt;&gt;1),F93-G93,0)</f>
        <v>-7.134593643674318</v>
      </c>
      <c r="I93" s="62"/>
      <c r="J93" s="61">
        <f>J92-H93-I93</f>
        <v>-3986.2341193587936</v>
      </c>
      <c r="K93" s="61">
        <f>K92*(1+$J$17)^(1/12)</f>
        <v>6198.7014235848701</v>
      </c>
      <c r="L93" s="31">
        <f t="shared" si="11"/>
        <v>16</v>
      </c>
      <c r="M93" s="31">
        <f t="shared" si="12"/>
        <v>-2.6666666666666661</v>
      </c>
      <c r="N93" s="31">
        <f t="shared" si="13"/>
        <v>-2.35</v>
      </c>
      <c r="O93" s="62"/>
      <c r="P93" s="31">
        <f>O93+N93+M93+L93+I93+F93</f>
        <v>-10.186326370998295</v>
      </c>
      <c r="Q93" s="31">
        <f>SUM($P$36:P93)</f>
        <v>-1074.8426449209126</v>
      </c>
      <c r="R93" s="83">
        <f t="shared" si="14"/>
        <v>-0.15371723274026228</v>
      </c>
      <c r="S93" s="31">
        <f>SUMPRODUCT($P$36:P93,$D$36:D93)/D93-Q93</f>
        <v>-197.40405115335739</v>
      </c>
      <c r="T93" s="31">
        <f t="shared" si="8"/>
        <v>1137.6246593051637</v>
      </c>
      <c r="U93" s="31">
        <f t="shared" si="9"/>
        <v>1758.8646593051637</v>
      </c>
      <c r="V93" s="80" cm="1">
        <f t="array" ref="V93">IF($L$2&lt;&gt;1,IRR(IF(ROW($P$36:P93)=ROW(P93),P93+K93+J93,$P$36:P93),V92/12)*12,0)</f>
        <v>0.19644196622316556</v>
      </c>
      <c r="W93" s="83">
        <f>(1+V93/12)^(B93)-1</f>
        <v>1.5232409998533685</v>
      </c>
    </row>
    <row r="94" spans="2:24" x14ac:dyDescent="0.25">
      <c r="B94" s="33">
        <v>58</v>
      </c>
      <c r="C94" s="105">
        <f t="shared" si="7"/>
        <v>3.9789301544717048E-3</v>
      </c>
      <c r="D94" s="106">
        <f t="shared" si="10"/>
        <v>0.79427936180703229</v>
      </c>
      <c r="E94" s="60">
        <f>rate</f>
        <v>3.5145930840192463E-3</v>
      </c>
      <c r="F94" s="31">
        <f>IF(AND(B93&gt;=gracia,12*años+gracia-B93&gt;0,$L$2&lt;&gt;1),PMT(E93,12*años-B93+gracia,-J93),0)</f>
        <v>-21.169659704331632</v>
      </c>
      <c r="G94" s="31">
        <f>IF(AND(12*años+gracia-B93&gt;0,$L$2&lt;&gt;1),J93*E94,0)</f>
        <v>-14.009990867179967</v>
      </c>
      <c r="H94" s="31">
        <f>IF(AND(12*años+gracia-B93&gt;0,$L$2&lt;&gt;1),F94-G94,0)</f>
        <v>-7.1596688371516652</v>
      </c>
      <c r="I94" s="62"/>
      <c r="J94" s="61">
        <f>J93-H94-I94</f>
        <v>-3979.0744505216421</v>
      </c>
      <c r="K94" s="61">
        <f>K93*(1+$J$17)^(1/12)</f>
        <v>6228.8739162036336</v>
      </c>
      <c r="L94" s="31">
        <f t="shared" si="11"/>
        <v>16</v>
      </c>
      <c r="M94" s="31">
        <f t="shared" si="12"/>
        <v>-2.6666666666666661</v>
      </c>
      <c r="N94" s="31">
        <f t="shared" si="13"/>
        <v>-2.35</v>
      </c>
      <c r="O94" s="62"/>
      <c r="P94" s="31">
        <f>O94+N94+M94+L94+I94+F94</f>
        <v>-10.186326370998298</v>
      </c>
      <c r="Q94" s="31">
        <f>SUM($P$36:P94)</f>
        <v>-1085.0289712919109</v>
      </c>
      <c r="R94" s="83">
        <f t="shared" si="14"/>
        <v>-0.15445936978942368</v>
      </c>
      <c r="S94" s="31">
        <f>SUMPRODUCT($P$36:P94,$D$36:D94)/D94-Q94</f>
        <v>-202.4662318962944</v>
      </c>
      <c r="T94" s="31">
        <f t="shared" si="8"/>
        <v>1164.7704943900808</v>
      </c>
      <c r="U94" s="31">
        <f t="shared" si="9"/>
        <v>1786.0104943900808</v>
      </c>
      <c r="V94" s="80" cm="1">
        <f t="array" ref="V94">IF($L$2&lt;&gt;1,IRR(IF(ROW($P$36:P94)=ROW(P94),P94+K94+J94,$P$36:P94),V93/12)*12,0)</f>
        <v>0.19541249449510367</v>
      </c>
      <c r="W94" s="83">
        <f>(1+V94/12)^(B94)-1</f>
        <v>1.5520219314948474</v>
      </c>
    </row>
    <row r="95" spans="2:24" x14ac:dyDescent="0.25">
      <c r="B95" s="33">
        <v>59</v>
      </c>
      <c r="C95" s="105">
        <f t="shared" si="7"/>
        <v>3.9789301544717048E-3</v>
      </c>
      <c r="D95" s="106">
        <f t="shared" si="10"/>
        <v>0.79113150480640548</v>
      </c>
      <c r="E95" s="60">
        <f>rate</f>
        <v>3.5145930840192463E-3</v>
      </c>
      <c r="F95" s="31">
        <f>IF(AND(B94&gt;=gracia,12*años+gracia-B94&gt;0,$L$2&lt;&gt;1),PMT(E94,12*años-B94+gracia,-J94),0)</f>
        <v>-21.169659704331629</v>
      </c>
      <c r="G95" s="31">
        <f>IF(AND(12*años+gracia-B94&gt;0,$L$2&lt;&gt;1),J94*E95,0)</f>
        <v>-13.984827544601046</v>
      </c>
      <c r="H95" s="31">
        <f>IF(AND(12*años+gracia-B94&gt;0,$L$2&lt;&gt;1),F95-G95,0)</f>
        <v>-7.1848321597305826</v>
      </c>
      <c r="I95" s="62"/>
      <c r="J95" s="61">
        <f>J94-H95-I95</f>
        <v>-3971.8896183619117</v>
      </c>
      <c r="K95" s="61">
        <f>K94*(1+$J$17)^(1/12)</f>
        <v>6259.193274955901</v>
      </c>
      <c r="L95" s="31">
        <f t="shared" si="11"/>
        <v>16</v>
      </c>
      <c r="M95" s="31">
        <f t="shared" si="12"/>
        <v>-2.6666666666666661</v>
      </c>
      <c r="N95" s="31">
        <f t="shared" si="13"/>
        <v>-2.35</v>
      </c>
      <c r="O95" s="62"/>
      <c r="P95" s="31">
        <f>O95+N95+M95+L95+I95+F95</f>
        <v>-10.186326370998295</v>
      </c>
      <c r="Q95" s="31">
        <f>SUM($P$36:P95)</f>
        <v>-1095.2152976629093</v>
      </c>
      <c r="R95" s="83">
        <f t="shared" si="14"/>
        <v>-0.15517634965047791</v>
      </c>
      <c r="S95" s="31">
        <f>SUMPRODUCT($P$36:P95,$D$36:D95)/D95-Q95</f>
        <v>-207.58908538399737</v>
      </c>
      <c r="T95" s="31">
        <f t="shared" si="8"/>
        <v>1192.0883589310797</v>
      </c>
      <c r="U95" s="31">
        <f t="shared" si="9"/>
        <v>1813.3283589310797</v>
      </c>
      <c r="V95" s="80" cm="1">
        <f t="array" ref="V95">IF($L$2&lt;&gt;1,IRR(IF(ROW($P$36:P95)=ROW(P95),P95+K95+J95,$P$36:P95),V94/12)*12,0)</f>
        <v>0.19438887068862876</v>
      </c>
      <c r="W95" s="83">
        <f>(1+V95/12)^(B95)-1</f>
        <v>1.5807673666681699</v>
      </c>
    </row>
    <row r="96" spans="2:24" x14ac:dyDescent="0.25">
      <c r="B96" s="33">
        <v>60</v>
      </c>
      <c r="C96" s="105">
        <f t="shared" si="7"/>
        <v>3.9789301544717048E-3</v>
      </c>
      <c r="D96" s="106">
        <f t="shared" si="10"/>
        <v>0.78799612326991997</v>
      </c>
      <c r="E96" s="60">
        <f>rate</f>
        <v>3.5145930840192463E-3</v>
      </c>
      <c r="F96" s="31">
        <f>IF(AND(B95&gt;=gracia,12*años+gracia-B95&gt;0,$L$2&lt;&gt;1),PMT(E95,12*años-B95+gracia,-J95),0)</f>
        <v>-21.169659704331632</v>
      </c>
      <c r="G96" s="31">
        <f>IF(AND(12*años+gracia-B95&gt;0,$L$2&lt;&gt;1),J95*E96,0)</f>
        <v>-13.959575783182618</v>
      </c>
      <c r="H96" s="31">
        <f>IF(AND(12*años+gracia-B95&gt;0,$L$2&lt;&gt;1),F96-G96,0)</f>
        <v>-7.210083921149014</v>
      </c>
      <c r="I96" s="62"/>
      <c r="J96" s="61">
        <f>J95-H96-I96</f>
        <v>-3964.6795344407628</v>
      </c>
      <c r="K96" s="61">
        <f>K95*(1+$J$17)^(1/12)</f>
        <v>6289.6602147200038</v>
      </c>
      <c r="L96" s="31">
        <f t="shared" si="11"/>
        <v>16</v>
      </c>
      <c r="M96" s="31">
        <f t="shared" si="12"/>
        <v>-2.6666666666666661</v>
      </c>
      <c r="N96" s="31">
        <f t="shared" si="13"/>
        <v>-2.35</v>
      </c>
      <c r="O96" s="62"/>
      <c r="P96" s="31">
        <f>O96+N96+M96+L96+I96+F96</f>
        <v>-10.186326370998298</v>
      </c>
      <c r="Q96" s="31">
        <f>SUM($P$36:P96)</f>
        <v>-1105.4016240339076</v>
      </c>
      <c r="R96" s="83">
        <f t="shared" si="14"/>
        <v>-0.15586943018283034</v>
      </c>
      <c r="S96" s="31">
        <f>SUMPRODUCT($P$36:P96,$D$36:D96)/D96-Q96</f>
        <v>-212.77285302908058</v>
      </c>
      <c r="T96" s="31">
        <f t="shared" si="8"/>
        <v>1219.579056245333</v>
      </c>
      <c r="U96" s="31">
        <f t="shared" si="9"/>
        <v>1840.8190562453331</v>
      </c>
      <c r="V96" s="80" cm="1">
        <f t="array" ref="V96">IF($L$2&lt;&gt;1,IRR(IF(ROW($P$36:P96)=ROW(P96),P96+K96+J96,$P$36:P96),V95/12)*12,0)</f>
        <v>0.19337166233616454</v>
      </c>
      <c r="W96" s="83">
        <f>(1+V96/12)^(B96)-1</f>
        <v>1.6094797617228762</v>
      </c>
      <c r="X96" s="31"/>
    </row>
    <row r="97" spans="2:23" x14ac:dyDescent="0.25">
      <c r="B97" s="33">
        <v>61</v>
      </c>
      <c r="C97" s="105">
        <f t="shared" si="7"/>
        <v>3.9789301544717048E-3</v>
      </c>
      <c r="D97" s="106">
        <f t="shared" si="10"/>
        <v>0.78487316775530269</v>
      </c>
      <c r="E97" s="60">
        <f>rate</f>
        <v>3.5145930840192463E-3</v>
      </c>
      <c r="F97" s="31">
        <f>IF(AND(B96&gt;=gracia,12*años+gracia-B96&gt;0,$L$2&lt;&gt;1),PMT(E96,12*años-B96+gracia,-J96),0)</f>
        <v>-21.169659704331632</v>
      </c>
      <c r="G97" s="31">
        <f>IF(AND(12*años+gracia-B96&gt;0,$L$2&lt;&gt;1),J96*E97,0)</f>
        <v>-13.934235272098149</v>
      </c>
      <c r="H97" s="31">
        <f>IF(AND(12*años+gracia-B96&gt;0,$L$2&lt;&gt;1),F97-G97,0)</f>
        <v>-7.2354244322334829</v>
      </c>
      <c r="I97" s="62"/>
      <c r="J97" s="61">
        <f>J96-H97-I97</f>
        <v>-3957.4441100085292</v>
      </c>
      <c r="K97" s="61">
        <f>K96*(1+$J$17)^(1/12)</f>
        <v>6320.2754538539793</v>
      </c>
      <c r="L97" s="31">
        <f t="shared" si="11"/>
        <v>16</v>
      </c>
      <c r="M97" s="31">
        <f t="shared" si="12"/>
        <v>-2.6666666666666661</v>
      </c>
      <c r="N97" s="31">
        <f t="shared" si="13"/>
        <v>-2.35</v>
      </c>
      <c r="O97" s="62"/>
      <c r="P97" s="31">
        <f>O97+N97+M97+L97+I97+F97</f>
        <v>-10.186326370998298</v>
      </c>
      <c r="Q97" s="31">
        <f>SUM($P$36:P97)</f>
        <v>-1115.587950404906</v>
      </c>
      <c r="R97" s="83">
        <f t="shared" si="14"/>
        <v>-0.15653978676330235</v>
      </c>
      <c r="S97" s="31">
        <f>SUMPRODUCT($P$36:P97,$D$36:D97)/D97-Q97</f>
        <v>-218.01777720472137</v>
      </c>
      <c r="T97" s="31">
        <f t="shared" si="8"/>
        <v>1247.2433934405444</v>
      </c>
      <c r="U97" s="31">
        <f t="shared" si="9"/>
        <v>1868.4833934405444</v>
      </c>
      <c r="V97" s="80" cm="1">
        <f t="array" ref="V97">IF($L$2&lt;&gt;1,IRR(IF(ROW($P$36:P97)=ROW(P97),P97+K97+J97,$P$36:P97),V96/12)*12,0)</f>
        <v>0.19236136474427212</v>
      </c>
      <c r="W97" s="83">
        <f>(1+V97/12)^(B97)-1</f>
        <v>1.6381615211008498</v>
      </c>
    </row>
    <row r="98" spans="2:23" x14ac:dyDescent="0.25">
      <c r="B98" s="33">
        <v>62</v>
      </c>
      <c r="C98" s="105">
        <f t="shared" si="7"/>
        <v>3.9789301544717048E-3</v>
      </c>
      <c r="D98" s="106">
        <f t="shared" si="10"/>
        <v>0.78176258901622819</v>
      </c>
      <c r="E98" s="60">
        <f>rate</f>
        <v>3.5145930840192463E-3</v>
      </c>
      <c r="F98" s="31">
        <f>IF(AND(B97&gt;=gracia,12*años+gracia-B97&gt;0,$L$2&lt;&gt;1),PMT(E97,12*años-B97+gracia,-J97),0)</f>
        <v>-21.169659704331632</v>
      </c>
      <c r="G98" s="31">
        <f>IF(AND(12*años+gracia-B97&gt;0,$L$2&lt;&gt;1),J97*E98,0)</f>
        <v>-13.908805699428678</v>
      </c>
      <c r="H98" s="31">
        <f>IF(AND(12*años+gracia-B97&gt;0,$L$2&lt;&gt;1),F98-G98,0)</f>
        <v>-7.2608540049029546</v>
      </c>
      <c r="I98" s="62"/>
      <c r="J98" s="61">
        <f>J97-H98-I98</f>
        <v>-3950.1832560036264</v>
      </c>
      <c r="K98" s="61">
        <f>K97*(1+$J$17)^(1/12)</f>
        <v>6351.0397142125103</v>
      </c>
      <c r="L98" s="31">
        <f t="shared" si="11"/>
        <v>16</v>
      </c>
      <c r="M98" s="31">
        <f t="shared" si="12"/>
        <v>-2.6666666666666661</v>
      </c>
      <c r="N98" s="31">
        <f t="shared" si="13"/>
        <v>-2.35</v>
      </c>
      <c r="O98" s="62"/>
      <c r="P98" s="31">
        <f>O98+N98+M98+L98+I98+F98</f>
        <v>-10.186326370998298</v>
      </c>
      <c r="Q98" s="31">
        <f>SUM($P$36:P98)</f>
        <v>-1125.7742767759044</v>
      </c>
      <c r="R98" s="83">
        <f t="shared" si="14"/>
        <v>-0.15718851893795271</v>
      </c>
      <c r="S98" s="31">
        <f>SUMPRODUCT($P$36:P98,$D$36:D98)/D98-Q98</f>
        <v>-223.3241012484832</v>
      </c>
      <c r="T98" s="31">
        <f t="shared" si="8"/>
        <v>1275.0821814329793</v>
      </c>
      <c r="U98" s="31">
        <f t="shared" si="9"/>
        <v>1896.3221814329793</v>
      </c>
      <c r="V98" s="80" cm="1">
        <f t="array" ref="V98">IF($L$2&lt;&gt;1,IRR(IF(ROW($P$36:P98)=ROW(P98),P98+K98+J98,$P$36:P98),V97/12)*12,0)</f>
        <v>0.1913584086384148</v>
      </c>
      <c r="W98" s="83">
        <f>(1+V98/12)^(B98)-1</f>
        <v>1.6668149990524639</v>
      </c>
    </row>
    <row r="99" spans="2:23" x14ac:dyDescent="0.25">
      <c r="B99" s="33">
        <v>63</v>
      </c>
      <c r="C99" s="105">
        <f t="shared" si="7"/>
        <v>3.9789301544717048E-3</v>
      </c>
      <c r="D99" s="106">
        <f t="shared" si="10"/>
        <v>0.77866433800154211</v>
      </c>
      <c r="E99" s="60">
        <f>rate</f>
        <v>3.5145930840192463E-3</v>
      </c>
      <c r="F99" s="31">
        <f>IF(AND(B98&gt;=gracia,12*años+gracia-B98&gt;0,$L$2&lt;&gt;1),PMT(E98,12*años-B98+gracia,-J98),0)</f>
        <v>-21.169659704331629</v>
      </c>
      <c r="G99" s="31">
        <f>IF(AND(12*años+gracia-B98&gt;0,$L$2&lt;&gt;1),J98*E99,0)</f>
        <v>-13.883286752158973</v>
      </c>
      <c r="H99" s="31">
        <f>IF(AND(12*años+gracia-B98&gt;0,$L$2&lt;&gt;1),F99-G99,0)</f>
        <v>-7.2863729521726555</v>
      </c>
      <c r="I99" s="62"/>
      <c r="J99" s="61">
        <f>J98-H99-I99</f>
        <v>-3942.8968830514536</v>
      </c>
      <c r="K99" s="61">
        <f>K98*(1+$J$17)^(1/12)</f>
        <v>6381.9537211639417</v>
      </c>
      <c r="L99" s="31">
        <f t="shared" si="11"/>
        <v>16</v>
      </c>
      <c r="M99" s="31">
        <f t="shared" si="12"/>
        <v>-2.6666666666666661</v>
      </c>
      <c r="N99" s="31">
        <f t="shared" si="13"/>
        <v>-2.35</v>
      </c>
      <c r="O99" s="62"/>
      <c r="P99" s="31">
        <f>O99+N99+M99+L99+I99+F99</f>
        <v>-10.186326370998295</v>
      </c>
      <c r="Q99" s="31">
        <f>SUM($P$36:P99)</f>
        <v>-1135.9606031469027</v>
      </c>
      <c r="R99" s="83">
        <f t="shared" si="14"/>
        <v>-0.15781665644039194</v>
      </c>
      <c r="S99" s="31">
        <f>SUMPRODUCT($P$36:P99,$D$36:D99)/D99-Q99</f>
        <v>-228.69206946615327</v>
      </c>
      <c r="T99" s="31">
        <f t="shared" si="8"/>
        <v>1303.0962349655856</v>
      </c>
      <c r="U99" s="31">
        <f t="shared" si="9"/>
        <v>1924.3362349655856</v>
      </c>
      <c r="V99" s="80" cm="1">
        <f t="array" ref="V99">IF($L$2&lt;&gt;1,IRR(IF(ROW($P$36:P99)=ROW(P99),P99+K99+J99,$P$36:P99),V98/12)*12,0)</f>
        <v>0.19036316696538602</v>
      </c>
      <c r="W99" s="83">
        <f>(1+V99/12)^(B99)-1</f>
        <v>1.6954425012951053</v>
      </c>
    </row>
    <row r="100" spans="2:23" x14ac:dyDescent="0.25">
      <c r="B100" s="33">
        <v>64</v>
      </c>
      <c r="C100" s="105">
        <f t="shared" si="7"/>
        <v>3.9789301544717048E-3</v>
      </c>
      <c r="D100" s="106">
        <f t="shared" si="10"/>
        <v>0.77557836585448781</v>
      </c>
      <c r="E100" s="60">
        <f>rate</f>
        <v>3.5145930840192463E-3</v>
      </c>
      <c r="F100" s="31">
        <f>IF(AND(B99&gt;=gracia,12*años+gracia-B99&gt;0,$L$2&lt;&gt;1),PMT(E99,12*años-B99+gracia,-J99),0)</f>
        <v>-21.169659704331629</v>
      </c>
      <c r="G100" s="31">
        <f>IF(AND(12*años+gracia-B99&gt;0,$L$2&lt;&gt;1),J99*E100,0)</f>
        <v>-13.857678116173682</v>
      </c>
      <c r="H100" s="31">
        <f>IF(AND(12*años+gracia-B99&gt;0,$L$2&lt;&gt;1),F100-G100,0)</f>
        <v>-7.3119815881579466</v>
      </c>
      <c r="I100" s="62"/>
      <c r="J100" s="61">
        <f>J99-H100-I100</f>
        <v>-3935.5849014632959</v>
      </c>
      <c r="K100" s="61">
        <f>K99*(1+$J$17)^(1/12)</f>
        <v>6413.0182036073866</v>
      </c>
      <c r="L100" s="31">
        <f t="shared" si="11"/>
        <v>16</v>
      </c>
      <c r="M100" s="31">
        <f t="shared" si="12"/>
        <v>-2.6666666666666661</v>
      </c>
      <c r="N100" s="31">
        <f t="shared" si="13"/>
        <v>-2.35</v>
      </c>
      <c r="O100" s="62"/>
      <c r="P100" s="31">
        <f>O100+N100+M100+L100+I100+F100</f>
        <v>-10.186326370998295</v>
      </c>
      <c r="Q100" s="31">
        <f>SUM($P$36:P100)</f>
        <v>-1146.1469295179011</v>
      </c>
      <c r="R100" s="83">
        <f t="shared" si="14"/>
        <v>-0.15842516464587994</v>
      </c>
      <c r="S100" s="31">
        <f>SUMPRODUCT($P$36:P100,$D$36:D100)/D100-Q100</f>
        <v>-234.12192713559375</v>
      </c>
      <c r="T100" s="31">
        <f t="shared" si="8"/>
        <v>1331.2863726261894</v>
      </c>
      <c r="U100" s="31">
        <f t="shared" si="9"/>
        <v>1952.5263726261894</v>
      </c>
      <c r="V100" s="80" cm="1">
        <f t="array" ref="V100">IF($L$2&lt;&gt;1,IRR(IF(ROW($P$36:P100)=ROW(P100),P100+K100+J100,$P$36:P100),V99/12)*12,0)</f>
        <v>0.18937596095380282</v>
      </c>
      <c r="W100" s="83">
        <f>(1+V100/12)^(B100)-1</f>
        <v>1.7240462866146489</v>
      </c>
    </row>
    <row r="101" spans="2:23" x14ac:dyDescent="0.25">
      <c r="B101" s="33">
        <v>65</v>
      </c>
      <c r="C101" s="105">
        <f t="shared" ref="C101:C164" si="15">(1+$E$3/360)^30-1-((1+$E$4)^(1/12)-1)</f>
        <v>3.9789301544717048E-3</v>
      </c>
      <c r="D101" s="106">
        <f t="shared" si="10"/>
        <v>0.77250462391193575</v>
      </c>
      <c r="E101" s="60">
        <f>rate</f>
        <v>3.5145930840192463E-3</v>
      </c>
      <c r="F101" s="31">
        <f>IF(AND(B100&gt;=gracia,12*años+gracia-B100&gt;0,$L$2&lt;&gt;1),PMT(E100,12*años-B100+gracia,-J100),0)</f>
        <v>-21.169659704331632</v>
      </c>
      <c r="G101" s="31">
        <f>IF(AND(12*años+gracia-B100&gt;0,$L$2&lt;&gt;1),J100*E101,0)</f>
        <v>-13.831979476253467</v>
      </c>
      <c r="H101" s="31">
        <f>IF(AND(12*años+gracia-B100&gt;0,$L$2&lt;&gt;1),F101-G101,0)</f>
        <v>-7.337680228078165</v>
      </c>
      <c r="I101" s="62"/>
      <c r="J101" s="61">
        <f>J100-H101-I101</f>
        <v>-3928.2472212352177</v>
      </c>
      <c r="K101" s="61">
        <f>K100*(1+$J$17)^(1/12)</f>
        <v>6444.2338939899109</v>
      </c>
      <c r="L101" s="31">
        <f t="shared" si="11"/>
        <v>16</v>
      </c>
      <c r="M101" s="31">
        <f t="shared" si="12"/>
        <v>-2.6666666666666661</v>
      </c>
      <c r="N101" s="31">
        <f t="shared" si="13"/>
        <v>-2.35</v>
      </c>
      <c r="O101" s="62"/>
      <c r="P101" s="31">
        <f>O101+N101+M101+L101+I101+F101</f>
        <v>-10.186326370998298</v>
      </c>
      <c r="Q101" s="31">
        <f>SUM($P$36:P101)</f>
        <v>-1156.3332558888994</v>
      </c>
      <c r="R101" s="83">
        <f t="shared" si="14"/>
        <v>-0.15901494952196829</v>
      </c>
      <c r="S101" s="31">
        <f>SUMPRODUCT($P$36:P101,$D$36:D101)/D101-Q101</f>
        <v>-239.61392051061057</v>
      </c>
      <c r="T101" s="31">
        <f t="shared" ref="T101:T164" si="16">Q101+J101+K101</f>
        <v>1359.6534168657936</v>
      </c>
      <c r="U101" s="31">
        <f t="shared" ref="U101:U164" si="17">IF($L$2&lt;&gt;1,T101+$E$30,T101)</f>
        <v>1980.8934168657936</v>
      </c>
      <c r="V101" s="80" cm="1">
        <f t="array" ref="V101">IF($L$2&lt;&gt;1,IRR(IF(ROW($P$36:P101)=ROW(P101),P101+K101+J101,$P$36:P101),V100/12)*12,0)</f>
        <v>0.18839706552015212</v>
      </c>
      <c r="W101" s="83">
        <f>(1+V101/12)^(B101)-1</f>
        <v>1.7526285684119269</v>
      </c>
    </row>
    <row r="102" spans="2:23" x14ac:dyDescent="0.25">
      <c r="B102" s="33">
        <v>66</v>
      </c>
      <c r="C102" s="105">
        <f t="shared" si="15"/>
        <v>3.9789301544717048E-3</v>
      </c>
      <c r="D102" s="106">
        <f t="shared" ref="D102:D165" si="18">D101/(1+C102)</f>
        <v>0.76944306370361637</v>
      </c>
      <c r="E102" s="60">
        <f>rate</f>
        <v>3.5145930840192463E-3</v>
      </c>
      <c r="F102" s="31">
        <f>IF(AND(B101&gt;=gracia,12*años+gracia-B101&gt;0,$L$2&lt;&gt;1),PMT(E101,12*años-B101+gracia,-J101),0)</f>
        <v>-21.169659704331632</v>
      </c>
      <c r="G102" s="31">
        <f>IF(AND(12*años+gracia-B101&gt;0,$L$2&lt;&gt;1),J101*E102,0)</f>
        <v>-13.806190516071119</v>
      </c>
      <c r="H102" s="31">
        <f>IF(AND(12*años+gracia-B101&gt;0,$L$2&lt;&gt;1),F102-G102,0)</f>
        <v>-7.3634691882605132</v>
      </c>
      <c r="I102" s="62"/>
      <c r="J102" s="61">
        <f>J101-H102-I102</f>
        <v>-3920.8837520469574</v>
      </c>
      <c r="K102" s="61">
        <f>K101*(1+$J$17)^(1/12)</f>
        <v>6475.6015283238048</v>
      </c>
      <c r="L102" s="31">
        <f t="shared" ref="L102:L165" si="19">IF($L$2=3,$J$7*$J$16,0)</f>
        <v>16</v>
      </c>
      <c r="M102" s="31">
        <f t="shared" ref="M102:M165" si="20">-$J$28</f>
        <v>-2.6666666666666661</v>
      </c>
      <c r="N102" s="31">
        <f t="shared" ref="N102:N165" si="21">IF($L$2&lt;&gt;1,-$E$17-$E$18,0)</f>
        <v>-2.35</v>
      </c>
      <c r="O102" s="62"/>
      <c r="P102" s="31">
        <f>O102+N102+M102+L102+I102+F102</f>
        <v>-10.186326370998298</v>
      </c>
      <c r="Q102" s="31">
        <f>SUM($P$36:P102)</f>
        <v>-1166.5195822598978</v>
      </c>
      <c r="R102" s="83">
        <f t="shared" ref="R102:R165" si="22">IF($L$2&lt;&gt;1,-(Q102-$Q$36)/B102*12/$P$36,0)</f>
        <v>-0.15958686212908429</v>
      </c>
      <c r="S102" s="31">
        <f>SUMPRODUCT($P$36:P102,$D$36:D102)/D102-Q102</f>
        <v>-245.16829682483603</v>
      </c>
      <c r="T102" s="31">
        <f t="shared" si="16"/>
        <v>1388.1981940169499</v>
      </c>
      <c r="U102" s="31">
        <f t="shared" si="17"/>
        <v>2009.4381940169499</v>
      </c>
      <c r="V102" s="80" cm="1">
        <f t="array" ref="V102">IF($L$2&lt;&gt;1,IRR(IF(ROW($P$36:P102)=ROW(P102),P102+K102+J102,$P$36:P102),V101/12)*12,0)</f>
        <v>0.18742671409648093</v>
      </c>
      <c r="W102" s="83">
        <f>(1+V102/12)^(B102)-1</f>
        <v>1.7811915161940011</v>
      </c>
    </row>
    <row r="103" spans="2:23" x14ac:dyDescent="0.25">
      <c r="B103" s="33">
        <v>67</v>
      </c>
      <c r="C103" s="105">
        <f t="shared" si="15"/>
        <v>3.9789301544717048E-3</v>
      </c>
      <c r="D103" s="106">
        <f t="shared" si="18"/>
        <v>0.76639363695135543</v>
      </c>
      <c r="E103" s="60">
        <f>rate</f>
        <v>3.5145930840192463E-3</v>
      </c>
      <c r="F103" s="31">
        <f>IF(AND(B102&gt;=gracia,12*años+gracia-B102&gt;0,$L$2&lt;&gt;1),PMT(E102,12*años-B102+gracia,-J102),0)</f>
        <v>-21.169659704331632</v>
      </c>
      <c r="G103" s="31">
        <f>IF(AND(12*años+gracia-B102&gt;0,$L$2&lt;&gt;1),J102*E103,0)</f>
        <v>-13.78031091818767</v>
      </c>
      <c r="H103" s="31">
        <f>IF(AND(12*años+gracia-B102&gt;0,$L$2&lt;&gt;1),F103-G103,0)</f>
        <v>-7.3893487861439624</v>
      </c>
      <c r="I103" s="62"/>
      <c r="J103" s="61">
        <f>J102-H103-I103</f>
        <v>-3913.4944032608132</v>
      </c>
      <c r="K103" s="61">
        <f>K102*(1+$J$17)^(1/12)</f>
        <v>6507.1218462039333</v>
      </c>
      <c r="L103" s="31">
        <f t="shared" si="19"/>
        <v>16</v>
      </c>
      <c r="M103" s="31">
        <f t="shared" si="20"/>
        <v>-2.6666666666666661</v>
      </c>
      <c r="N103" s="31">
        <f t="shared" si="21"/>
        <v>-2.35</v>
      </c>
      <c r="O103" s="62"/>
      <c r="P103" s="31">
        <f>O103+N103+M103+L103+I103+F103</f>
        <v>-10.186326370998298</v>
      </c>
      <c r="Q103" s="31">
        <f>SUM($P$36:P103)</f>
        <v>-1176.7059086308961</v>
      </c>
      <c r="R103" s="83">
        <f t="shared" si="22"/>
        <v>-0.1601417027180774</v>
      </c>
      <c r="S103" s="31">
        <f>SUMPRODUCT($P$36:P103,$D$36:D103)/D103-Q103</f>
        <v>-250.78530429562829</v>
      </c>
      <c r="T103" s="31">
        <f t="shared" si="16"/>
        <v>1416.9215343122241</v>
      </c>
      <c r="U103" s="31">
        <f t="shared" si="17"/>
        <v>2038.1615343122241</v>
      </c>
      <c r="V103" s="80" cm="1">
        <f t="array" ref="V103">IF($L$2&lt;&gt;1,IRR(IF(ROW($P$36:P103)=ROW(P103),P103+K103+J103,$P$36:P103),V102/12)*12,0)</f>
        <v>0.18646510294643726</v>
      </c>
      <c r="W103" s="83">
        <f>(1+V103/12)^(B103)-1</f>
        <v>1.8097372570140924</v>
      </c>
    </row>
    <row r="104" spans="2:23" x14ac:dyDescent="0.25">
      <c r="B104" s="33">
        <v>68</v>
      </c>
      <c r="C104" s="105">
        <f t="shared" si="15"/>
        <v>3.9789301544717048E-3</v>
      </c>
      <c r="D104" s="106">
        <f t="shared" si="18"/>
        <v>0.76335629556831286</v>
      </c>
      <c r="E104" s="60">
        <f>rate</f>
        <v>3.5145930840192463E-3</v>
      </c>
      <c r="F104" s="31">
        <f>IF(AND(B103&gt;=gracia,12*años+gracia-B103&gt;0,$L$2&lt;&gt;1),PMT(E103,12*años-B103+gracia,-J103),0)</f>
        <v>-21.169659704331632</v>
      </c>
      <c r="G104" s="31">
        <f>IF(AND(12*años+gracia-B103&gt;0,$L$2&lt;&gt;1),J103*E104,0)</f>
        <v>-13.754340364048481</v>
      </c>
      <c r="H104" s="31">
        <f>IF(AND(12*años+gracia-B103&gt;0,$L$2&lt;&gt;1),F104-G104,0)</f>
        <v>-7.4153193402831512</v>
      </c>
      <c r="I104" s="62"/>
      <c r="J104" s="61">
        <f>J103-H104-I104</f>
        <v>-3906.0790839205301</v>
      </c>
      <c r="K104" s="61">
        <f>K103*(1+$J$17)^(1/12)</f>
        <v>6538.7955908251797</v>
      </c>
      <c r="L104" s="31">
        <f t="shared" si="19"/>
        <v>16</v>
      </c>
      <c r="M104" s="31">
        <f t="shared" si="20"/>
        <v>-2.6666666666666661</v>
      </c>
      <c r="N104" s="31">
        <f t="shared" si="21"/>
        <v>-2.35</v>
      </c>
      <c r="O104" s="62"/>
      <c r="P104" s="31">
        <f>O104+N104+M104+L104+I104+F104</f>
        <v>-10.186326370998298</v>
      </c>
      <c r="Q104" s="31">
        <f>SUM($P$36:P104)</f>
        <v>-1186.8922350018945</v>
      </c>
      <c r="R104" s="83">
        <f t="shared" si="22"/>
        <v>-0.1606802244662178</v>
      </c>
      <c r="S104" s="31">
        <f>SUMPRODUCT($P$36:P104,$D$36:D104)/D104-Q104</f>
        <v>-256.46519212798512</v>
      </c>
      <c r="T104" s="31">
        <f t="shared" si="16"/>
        <v>1445.8242719027548</v>
      </c>
      <c r="U104" s="31">
        <f t="shared" si="17"/>
        <v>2067.0642719027546</v>
      </c>
      <c r="V104" s="80" cm="1">
        <f t="array" ref="V104">IF($L$2&lt;&gt;1,IRR(IF(ROW($P$36:P104)=ROW(P104),P104+K104+J104,$P$36:P104),V103/12)*12,0)</f>
        <v>0.18551239502774308</v>
      </c>
      <c r="W104" s="83">
        <f>(1+V104/12)^(B104)-1</f>
        <v>1.8382678768587137</v>
      </c>
    </row>
    <row r="105" spans="2:23" x14ac:dyDescent="0.25">
      <c r="B105" s="33">
        <v>69</v>
      </c>
      <c r="C105" s="105">
        <f t="shared" si="15"/>
        <v>3.9789301544717048E-3</v>
      </c>
      <c r="D105" s="106">
        <f t="shared" si="18"/>
        <v>0.7603309916582246</v>
      </c>
      <c r="E105" s="60">
        <f>rate</f>
        <v>3.5145930840192463E-3</v>
      </c>
      <c r="F105" s="31">
        <f>IF(AND(B104&gt;=gracia,12*años+gracia-B104&gt;0,$L$2&lt;&gt;1),PMT(E104,12*años-B104+gracia,-J104),0)</f>
        <v>-21.169659704331632</v>
      </c>
      <c r="G105" s="31">
        <f>IF(AND(12*años+gracia-B104&gt;0,$L$2&lt;&gt;1),J104*E105,0)</f>
        <v>-13.728278533979328</v>
      </c>
      <c r="H105" s="31">
        <f>IF(AND(12*años+gracia-B104&gt;0,$L$2&lt;&gt;1),F105-G105,0)</f>
        <v>-7.4413811703523045</v>
      </c>
      <c r="I105" s="62"/>
      <c r="J105" s="61">
        <f>J104-H105-I105</f>
        <v>-3898.6377027501781</v>
      </c>
      <c r="K105" s="61">
        <f>K104*(1+$J$17)^(1/12)</f>
        <v>6570.6235089999636</v>
      </c>
      <c r="L105" s="31">
        <f t="shared" si="19"/>
        <v>16</v>
      </c>
      <c r="M105" s="31">
        <f t="shared" si="20"/>
        <v>-2.6666666666666661</v>
      </c>
      <c r="N105" s="31">
        <f t="shared" si="21"/>
        <v>-2.35</v>
      </c>
      <c r="O105" s="62"/>
      <c r="P105" s="31">
        <f>O105+N105+M105+L105+I105+F105</f>
        <v>-10.186326370998298</v>
      </c>
      <c r="Q105" s="31">
        <f>SUM($P$36:P105)</f>
        <v>-1197.0785613728929</v>
      </c>
      <c r="R105" s="83">
        <f t="shared" si="22"/>
        <v>-0.16120313688832513</v>
      </c>
      <c r="S105" s="31">
        <f>SUMPRODUCT($P$36:P105,$D$36:D105)/D105-Q105</f>
        <v>-262.2082105184727</v>
      </c>
      <c r="T105" s="31">
        <f t="shared" si="16"/>
        <v>1474.9072448768929</v>
      </c>
      <c r="U105" s="31">
        <f t="shared" si="17"/>
        <v>2096.1472448768927</v>
      </c>
      <c r="V105" s="80" cm="1">
        <f t="array" ref="V105">IF($L$2&lt;&gt;1,IRR(IF(ROW($P$36:P105)=ROW(P105),P105+K105+J105,$P$36:P105),V104/12)*12,0)</f>
        <v>0.18456872345226927</v>
      </c>
      <c r="W105" s="83">
        <f>(1+V105/12)^(B105)-1</f>
        <v>1.8667854219863846</v>
      </c>
    </row>
    <row r="106" spans="2:23" x14ac:dyDescent="0.25">
      <c r="B106" s="33">
        <v>70</v>
      </c>
      <c r="C106" s="105">
        <f t="shared" si="15"/>
        <v>3.9789301544717048E-3</v>
      </c>
      <c r="D106" s="106">
        <f t="shared" si="18"/>
        <v>0.75731767751464707</v>
      </c>
      <c r="E106" s="60">
        <f>rate</f>
        <v>3.5145930840192463E-3</v>
      </c>
      <c r="F106" s="31">
        <f>IF(AND(B105&gt;=gracia,12*años+gracia-B105&gt;0,$L$2&lt;&gt;1),PMT(E105,12*años-B105+gracia,-J105),0)</f>
        <v>-21.169659704331632</v>
      </c>
      <c r="G106" s="31">
        <f>IF(AND(12*años+gracia-B105&gt;0,$L$2&lt;&gt;1),J105*E106,0)</f>
        <v>-13.702125107182457</v>
      </c>
      <c r="H106" s="31">
        <f>IF(AND(12*años+gracia-B105&gt;0,$L$2&lt;&gt;1),F106-G106,0)</f>
        <v>-7.4675345971491751</v>
      </c>
      <c r="I106" s="62"/>
      <c r="J106" s="61">
        <f>J105-H106-I106</f>
        <v>-3891.170168153029</v>
      </c>
      <c r="K106" s="61">
        <f>K105*(1+$J$17)^(1/12)</f>
        <v>6602.606351175853</v>
      </c>
      <c r="L106" s="31">
        <f t="shared" si="19"/>
        <v>16</v>
      </c>
      <c r="M106" s="31">
        <f t="shared" si="20"/>
        <v>-2.6666666666666661</v>
      </c>
      <c r="N106" s="31">
        <f t="shared" si="21"/>
        <v>-2.35</v>
      </c>
      <c r="O106" s="62"/>
      <c r="P106" s="31">
        <f>O106+N106+M106+L106+I106+F106</f>
        <v>-10.186326370998298</v>
      </c>
      <c r="Q106" s="31">
        <f>SUM($P$36:P106)</f>
        <v>-1207.2648877438912</v>
      </c>
      <c r="R106" s="83">
        <f t="shared" si="22"/>
        <v>-0.16171110895551508</v>
      </c>
      <c r="S106" s="31">
        <f>SUMPRODUCT($P$36:P106,$D$36:D106)/D106-Q106</f>
        <v>-268.01461065917306</v>
      </c>
      <c r="T106" s="31">
        <f t="shared" si="16"/>
        <v>1504.171295278933</v>
      </c>
      <c r="U106" s="31">
        <f t="shared" si="17"/>
        <v>2125.4112952789328</v>
      </c>
      <c r="V106" s="80" cm="1">
        <f t="array" ref="V106">IF($L$2&lt;&gt;1,IRR(IF(ROW($P$36:P106)=ROW(P106),P106+K106+J106,$P$36:P106),V105/12)*12,0)</f>
        <v>0.18363419458851649</v>
      </c>
      <c r="W106" s="83">
        <f>(1+V106/12)^(B106)-1</f>
        <v>1.8952919002183313</v>
      </c>
    </row>
    <row r="107" spans="2:23" x14ac:dyDescent="0.25">
      <c r="B107" s="33">
        <v>71</v>
      </c>
      <c r="C107" s="105">
        <f t="shared" si="15"/>
        <v>3.9789301544717048E-3</v>
      </c>
      <c r="D107" s="106">
        <f t="shared" si="18"/>
        <v>0.75431630562020513</v>
      </c>
      <c r="E107" s="60">
        <f>rate</f>
        <v>3.5145930840192463E-3</v>
      </c>
      <c r="F107" s="31">
        <f>IF(AND(B106&gt;=gracia,12*años+gracia-B106&gt;0,$L$2&lt;&gt;1),PMT(E106,12*años-B106+gracia,-J106),0)</f>
        <v>-21.169659704331636</v>
      </c>
      <c r="G107" s="31">
        <f>IF(AND(12*años+gracia-B106&gt;0,$L$2&lt;&gt;1),J106*E107,0)</f>
        <v>-13.675879761732643</v>
      </c>
      <c r="H107" s="31">
        <f>IF(AND(12*años+gracia-B106&gt;0,$L$2&lt;&gt;1),F107-G107,0)</f>
        <v>-7.4937799425989926</v>
      </c>
      <c r="I107" s="62"/>
      <c r="J107" s="61">
        <f>J106-H107-I107</f>
        <v>-3883.6763882104301</v>
      </c>
      <c r="K107" s="61">
        <f>K106*(1+$J$17)^(1/12)</f>
        <v>6634.7448714532566</v>
      </c>
      <c r="L107" s="31">
        <f t="shared" si="19"/>
        <v>16</v>
      </c>
      <c r="M107" s="31">
        <f t="shared" si="20"/>
        <v>-2.6666666666666661</v>
      </c>
      <c r="N107" s="31">
        <f t="shared" si="21"/>
        <v>-2.35</v>
      </c>
      <c r="O107" s="62"/>
      <c r="P107" s="31">
        <f>O107+N107+M107+L107+I107+F107</f>
        <v>-10.186326370998302</v>
      </c>
      <c r="Q107" s="31">
        <f>SUM($P$36:P107)</f>
        <v>-1217.4512141148896</v>
      </c>
      <c r="R107" s="83">
        <f t="shared" si="22"/>
        <v>-0.16220477195038988</v>
      </c>
      <c r="S107" s="31">
        <f>SUMPRODUCT($P$36:P107,$D$36:D107)/D107-Q107</f>
        <v>-273.88464474164266</v>
      </c>
      <c r="T107" s="31">
        <f t="shared" si="16"/>
        <v>1533.6172691279371</v>
      </c>
      <c r="U107" s="31">
        <f t="shared" si="17"/>
        <v>2154.8572691279369</v>
      </c>
      <c r="V107" s="80" cm="1">
        <f t="array" ref="V107">IF($L$2&lt;&gt;1,IRR(IF(ROW($P$36:P107)=ROW(P107),P107+K107+J107,$P$36:P107),V106/12)*12,0)</f>
        <v>0.18270889084580677</v>
      </c>
      <c r="W107" s="83">
        <f>(1+V107/12)^(B107)-1</f>
        <v>1.9237892821819496</v>
      </c>
    </row>
    <row r="108" spans="2:23" x14ac:dyDescent="0.25">
      <c r="B108" s="33">
        <v>72</v>
      </c>
      <c r="C108" s="105">
        <f t="shared" si="15"/>
        <v>3.9789301544717048E-3</v>
      </c>
      <c r="D108" s="106">
        <f t="shared" si="18"/>
        <v>0.75132682864584255</v>
      </c>
      <c r="E108" s="60">
        <f>rate</f>
        <v>3.5145930840192463E-3</v>
      </c>
      <c r="F108" s="31">
        <f>IF(AND(B107&gt;=gracia,12*años+gracia-B107&gt;0,$L$2&lt;&gt;1),PMT(E107,12*años-B107+gracia,-J107),0)</f>
        <v>-21.169659704331632</v>
      </c>
      <c r="G108" s="31">
        <f>IF(AND(12*años+gracia-B107&gt;0,$L$2&lt;&gt;1),J107*E108,0)</f>
        <v>-13.649542174573224</v>
      </c>
      <c r="H108" s="31">
        <f>IF(AND(12*años+gracia-B107&gt;0,$L$2&lt;&gt;1),F108-G108,0)</f>
        <v>-7.5201175297584086</v>
      </c>
      <c r="I108" s="62"/>
      <c r="J108" s="61">
        <f>J107-H108-I108</f>
        <v>-3876.1562706806717</v>
      </c>
      <c r="K108" s="61">
        <f>K107*(1+$J$17)^(1/12)</f>
        <v>6667.0398276032056</v>
      </c>
      <c r="L108" s="31">
        <f t="shared" si="19"/>
        <v>16</v>
      </c>
      <c r="M108" s="31">
        <f t="shared" si="20"/>
        <v>-2.6666666666666661</v>
      </c>
      <c r="N108" s="31">
        <f t="shared" si="21"/>
        <v>-2.35</v>
      </c>
      <c r="O108" s="62"/>
      <c r="P108" s="31">
        <f>O108+N108+M108+L108+I108+F108</f>
        <v>-10.186326370998298</v>
      </c>
      <c r="Q108" s="31">
        <f>SUM($P$36:P108)</f>
        <v>-1227.6375404858879</v>
      </c>
      <c r="R108" s="83">
        <f t="shared" si="22"/>
        <v>-0.16268472208429591</v>
      </c>
      <c r="S108" s="31">
        <f>SUMPRODUCT($P$36:P108,$D$36:D108)/D108-Q108</f>
        <v>-279.8185659608921</v>
      </c>
      <c r="T108" s="31">
        <f t="shared" si="16"/>
        <v>1563.2460164366457</v>
      </c>
      <c r="U108" s="31">
        <f t="shared" si="17"/>
        <v>2184.4860164366455</v>
      </c>
      <c r="V108" s="80" cm="1">
        <f t="array" ref="V108">IF($L$2&lt;&gt;1,IRR(IF(ROW($P$36:P108)=ROW(P108),P108+K108+J108,$P$36:P108),V107/12)*12,0)</f>
        <v>0.18179287317506976</v>
      </c>
      <c r="W108" s="83">
        <f>(1+V108/12)^(B108)-1</f>
        <v>1.952279502510859</v>
      </c>
    </row>
    <row r="109" spans="2:23" x14ac:dyDescent="0.25">
      <c r="B109" s="33">
        <v>73</v>
      </c>
      <c r="C109" s="105">
        <f t="shared" si="15"/>
        <v>3.9789301544717048E-3</v>
      </c>
      <c r="D109" s="106">
        <f t="shared" si="18"/>
        <v>0.74834919945007583</v>
      </c>
      <c r="E109" s="60">
        <f>rate</f>
        <v>3.5145930840192463E-3</v>
      </c>
      <c r="F109" s="31">
        <f>IF(AND(B108&gt;=gracia,12*años+gracia-B108&gt;0,$L$2&lt;&gt;1),PMT(E108,12*años-B108+gracia,-J108),0)</f>
        <v>-21.169659704331636</v>
      </c>
      <c r="G109" s="31">
        <f>IF(AND(12*años+gracia-B108&gt;0,$L$2&lt;&gt;1),J108*E109,0)</f>
        <v>-13.623112021512123</v>
      </c>
      <c r="H109" s="31">
        <f>IF(AND(12*años+gracia-B108&gt;0,$L$2&lt;&gt;1),F109-G109,0)</f>
        <v>-7.5465476828195133</v>
      </c>
      <c r="I109" s="62"/>
      <c r="J109" s="61">
        <f>J108-H109-I109</f>
        <v>-3868.6097229978523</v>
      </c>
      <c r="K109" s="61">
        <f>K108*(1+$J$17)^(1/12)</f>
        <v>6699.4919810852198</v>
      </c>
      <c r="L109" s="31">
        <f t="shared" si="19"/>
        <v>16</v>
      </c>
      <c r="M109" s="31">
        <f t="shared" si="20"/>
        <v>-2.6666666666666661</v>
      </c>
      <c r="N109" s="31">
        <f t="shared" si="21"/>
        <v>-2.35</v>
      </c>
      <c r="O109" s="62"/>
      <c r="P109" s="31">
        <f>O109+N109+M109+L109+I109+F109</f>
        <v>-10.186326370998302</v>
      </c>
      <c r="Q109" s="31">
        <f>SUM($P$36:P109)</f>
        <v>-1237.8238668568863</v>
      </c>
      <c r="R109" s="83">
        <f t="shared" si="22"/>
        <v>-0.16315152289946477</v>
      </c>
      <c r="S109" s="31">
        <f>SUMPRODUCT($P$36:P109,$D$36:D109)/D109-Q109</f>
        <v>-285.81662851937585</v>
      </c>
      <c r="T109" s="31">
        <f t="shared" si="16"/>
        <v>1593.058391230481</v>
      </c>
      <c r="U109" s="31">
        <f t="shared" si="17"/>
        <v>2214.2983912304808</v>
      </c>
      <c r="V109" s="80" cm="1">
        <f t="array" ref="V109">IF($L$2&lt;&gt;1,IRR(IF(ROW($P$36:P109)=ROW(P109),P109+K109+J109,$P$36:P109),V108/12)*12,0)</f>
        <v>0.18088618331668993</v>
      </c>
      <c r="W109" s="83">
        <f>(1+V109/12)^(B109)-1</f>
        <v>1.9807644610008941</v>
      </c>
    </row>
    <row r="110" spans="2:23" x14ac:dyDescent="0.25">
      <c r="B110" s="33">
        <v>74</v>
      </c>
      <c r="C110" s="105">
        <f t="shared" si="15"/>
        <v>3.9789301544717048E-3</v>
      </c>
      <c r="D110" s="106">
        <f t="shared" si="18"/>
        <v>0.74538337107825081</v>
      </c>
      <c r="E110" s="60">
        <f>rate</f>
        <v>3.5145930840192463E-3</v>
      </c>
      <c r="F110" s="31">
        <f>IF(AND(B109&gt;=gracia,12*años+gracia-B109&gt;0,$L$2&lt;&gt;1),PMT(E109,12*años-B109+gracia,-J109),0)</f>
        <v>-21.169659704331636</v>
      </c>
      <c r="G110" s="31">
        <f>IF(AND(12*años+gracia-B109&gt;0,$L$2&lt;&gt;1),J109*E110,0)</f>
        <v>-13.596588977217865</v>
      </c>
      <c r="H110" s="31">
        <f>IF(AND(12*años+gracia-B109&gt;0,$L$2&lt;&gt;1),F110-G110,0)</f>
        <v>-7.5730707271137714</v>
      </c>
      <c r="I110" s="62"/>
      <c r="J110" s="61">
        <f>J109-H110-I110</f>
        <v>-3861.0366522707386</v>
      </c>
      <c r="K110" s="61">
        <f>K109*(1+$J$17)^(1/12)</f>
        <v>6732.1020970652626</v>
      </c>
      <c r="L110" s="31">
        <f t="shared" si="19"/>
        <v>16</v>
      </c>
      <c r="M110" s="31">
        <f t="shared" si="20"/>
        <v>-2.6666666666666661</v>
      </c>
      <c r="N110" s="31">
        <f t="shared" si="21"/>
        <v>-2.35</v>
      </c>
      <c r="O110" s="62"/>
      <c r="P110" s="31">
        <f>O110+N110+M110+L110+I110+F110</f>
        <v>-10.186326370998302</v>
      </c>
      <c r="Q110" s="31">
        <f>SUM($P$36:P110)</f>
        <v>-1248.0101932278847</v>
      </c>
      <c r="R110" s="83">
        <f t="shared" si="22"/>
        <v>-0.16360570747638586</v>
      </c>
      <c r="S110" s="31">
        <f>SUMPRODUCT($P$36:P110,$D$36:D110)/D110-Q110</f>
        <v>-291.8790876310029</v>
      </c>
      <c r="T110" s="31">
        <f t="shared" si="16"/>
        <v>1623.0552515666395</v>
      </c>
      <c r="U110" s="31">
        <f t="shared" si="17"/>
        <v>2244.2952515666393</v>
      </c>
      <c r="V110" s="80" cm="1">
        <f t="array" ref="V110">IF($L$2&lt;&gt;1,IRR(IF(ROW($P$36:P110)=ROW(P110),P110+K110+J110,$P$36:P110),V109/12)*12,0)</f>
        <v>0.17998884582255048</v>
      </c>
      <c r="W110" s="83">
        <f>(1+V110/12)^(B110)-1</f>
        <v>2.0092460237248657</v>
      </c>
    </row>
    <row r="111" spans="2:23" x14ac:dyDescent="0.25">
      <c r="B111" s="33">
        <v>75</v>
      </c>
      <c r="C111" s="105">
        <f t="shared" si="15"/>
        <v>3.9789301544717048E-3</v>
      </c>
      <c r="D111" s="106">
        <f t="shared" si="18"/>
        <v>0.74242929676180203</v>
      </c>
      <c r="E111" s="60">
        <f>rate</f>
        <v>3.5145930840192463E-3</v>
      </c>
      <c r="F111" s="31">
        <f>IF(AND(B110&gt;=gracia,12*años+gracia-B110&gt;0,$L$2&lt;&gt;1),PMT(E110,12*años-B110+gracia,-J110),0)</f>
        <v>-21.169659704331636</v>
      </c>
      <c r="G111" s="31">
        <f>IF(AND(12*años+gracia-B110&gt;0,$L$2&lt;&gt;1),J110*E111,0)</f>
        <v>-13.569972715215561</v>
      </c>
      <c r="H111" s="31">
        <f>IF(AND(12*años+gracia-B110&gt;0,$L$2&lt;&gt;1),F111-G111,0)</f>
        <v>-7.5996869891160745</v>
      </c>
      <c r="I111" s="62"/>
      <c r="J111" s="61">
        <f>J110-H111-I111</f>
        <v>-3853.4369652816226</v>
      </c>
      <c r="K111" s="61">
        <f>K110*(1+$J$17)^(1/12)</f>
        <v>6764.8709444337801</v>
      </c>
      <c r="L111" s="31">
        <f t="shared" si="19"/>
        <v>16</v>
      </c>
      <c r="M111" s="31">
        <f t="shared" si="20"/>
        <v>-2.6666666666666661</v>
      </c>
      <c r="N111" s="31">
        <f t="shared" si="21"/>
        <v>-2.35</v>
      </c>
      <c r="O111" s="62"/>
      <c r="P111" s="31">
        <f>O111+N111+M111+L111+I111+F111</f>
        <v>-10.186326370998302</v>
      </c>
      <c r="Q111" s="31">
        <f>SUM($P$36:P111)</f>
        <v>-1258.196519598883</v>
      </c>
      <c r="R111" s="83">
        <f t="shared" si="22"/>
        <v>-0.16404778046458901</v>
      </c>
      <c r="S111" s="31">
        <f>SUMPRODUCT($P$36:P111,$D$36:D111)/D111-Q111</f>
        <v>-298.00619952516013</v>
      </c>
      <c r="T111" s="31">
        <f t="shared" si="16"/>
        <v>1653.2374595532747</v>
      </c>
      <c r="U111" s="31">
        <f t="shared" si="17"/>
        <v>2274.4774595532745</v>
      </c>
      <c r="V111" s="80" cm="1">
        <f t="array" ref="V111">IF($L$2&lt;&gt;1,IRR(IF(ROW($P$36:P111)=ROW(P111),P111+K111+J111,$P$36:P111),V110/12)*12,0)</f>
        <v>0.17910086987620932</v>
      </c>
      <c r="W111" s="83">
        <f>(1+V111/12)^(B111)-1</f>
        <v>2.0377260241081028</v>
      </c>
    </row>
    <row r="112" spans="2:23" x14ac:dyDescent="0.25">
      <c r="B112" s="33">
        <v>76</v>
      </c>
      <c r="C112" s="105">
        <f t="shared" si="15"/>
        <v>3.9789301544717048E-3</v>
      </c>
      <c r="D112" s="106">
        <f t="shared" si="18"/>
        <v>0.73948692991751552</v>
      </c>
      <c r="E112" s="60">
        <f>rate</f>
        <v>3.5145930840192463E-3</v>
      </c>
      <c r="F112" s="31">
        <f>IF(AND(B111&gt;=gracia,12*años+gracia-B111&gt;0,$L$2&lt;&gt;1),PMT(E111,12*años-B111+gracia,-J111),0)</f>
        <v>-21.169659704331639</v>
      </c>
      <c r="G112" s="31">
        <f>IF(AND(12*años+gracia-B111&gt;0,$L$2&lt;&gt;1),J111*E112,0)</f>
        <v>-13.543262907882903</v>
      </c>
      <c r="H112" s="31">
        <f>IF(AND(12*años+gracia-B111&gt;0,$L$2&lt;&gt;1),F112-G112,0)</f>
        <v>-7.626396796448736</v>
      </c>
      <c r="I112" s="62"/>
      <c r="J112" s="61">
        <f>J111-H112-I112</f>
        <v>-3845.8105684851739</v>
      </c>
      <c r="K112" s="61">
        <f>K111*(1+$J$17)^(1/12)</f>
        <v>6797.7992958238319</v>
      </c>
      <c r="L112" s="31">
        <f t="shared" si="19"/>
        <v>16</v>
      </c>
      <c r="M112" s="31">
        <f t="shared" si="20"/>
        <v>-2.6666666666666661</v>
      </c>
      <c r="N112" s="31">
        <f t="shared" si="21"/>
        <v>-2.35</v>
      </c>
      <c r="O112" s="62"/>
      <c r="P112" s="31">
        <f>O112+N112+M112+L112+I112+F112</f>
        <v>-10.186326370998305</v>
      </c>
      <c r="Q112" s="31">
        <f>SUM($P$36:P112)</f>
        <v>-1268.3828459698814</v>
      </c>
      <c r="R112" s="83">
        <f t="shared" si="22"/>
        <v>-0.16447821995310263</v>
      </c>
      <c r="S112" s="31">
        <f>SUMPRODUCT($P$36:P112,$D$36:D112)/D112-Q112</f>
        <v>-304.19822145075341</v>
      </c>
      <c r="T112" s="31">
        <f t="shared" si="16"/>
        <v>1683.6058813687769</v>
      </c>
      <c r="U112" s="31">
        <f t="shared" si="17"/>
        <v>2304.8458813687766</v>
      </c>
      <c r="V112" s="80" cm="1">
        <f t="array" ref="V112">IF($L$2&lt;&gt;1,IRR(IF(ROW($P$36:P112)=ROW(P112),P112+K112+J112,$P$36:P112),V111/12)*12,0)</f>
        <v>0.17822225093233435</v>
      </c>
      <c r="W112" s="83">
        <f>(1+V112/12)^(B112)-1</f>
        <v>2.0662062639645802</v>
      </c>
    </row>
    <row r="113" spans="2:23" x14ac:dyDescent="0.25">
      <c r="B113" s="33">
        <v>77</v>
      </c>
      <c r="C113" s="105">
        <f t="shared" si="15"/>
        <v>3.9789301544717048E-3</v>
      </c>
      <c r="D113" s="106">
        <f t="shared" si="18"/>
        <v>0.736556224146794</v>
      </c>
      <c r="E113" s="60">
        <f>rate</f>
        <v>3.5145930840192463E-3</v>
      </c>
      <c r="F113" s="31">
        <f>IF(AND(B112&gt;=gracia,12*años+gracia-B112&gt;0,$L$2&lt;&gt;1),PMT(E112,12*años-B112+gracia,-J112),0)</f>
        <v>-21.169659704331639</v>
      </c>
      <c r="G113" s="31">
        <f>IF(AND(12*años+gracia-B112&gt;0,$L$2&lt;&gt;1),J112*E113,0)</f>
        <v>-13.516459226446118</v>
      </c>
      <c r="H113" s="31">
        <f>IF(AND(12*años+gracia-B112&gt;0,$L$2&lt;&gt;1),F113-G113,0)</f>
        <v>-7.6532004778855214</v>
      </c>
      <c r="I113" s="62"/>
      <c r="J113" s="61">
        <f>J112-H113-I113</f>
        <v>-3838.1573680072884</v>
      </c>
      <c r="K113" s="61">
        <f>K112*(1+$J$17)^(1/12)</f>
        <v>6830.8879276293073</v>
      </c>
      <c r="L113" s="31">
        <f t="shared" si="19"/>
        <v>16</v>
      </c>
      <c r="M113" s="31">
        <f t="shared" si="20"/>
        <v>-2.6666666666666661</v>
      </c>
      <c r="N113" s="31">
        <f t="shared" si="21"/>
        <v>-2.35</v>
      </c>
      <c r="O113" s="62"/>
      <c r="P113" s="31">
        <f>O113+N113+M113+L113+I113+F113</f>
        <v>-10.186326370998305</v>
      </c>
      <c r="Q113" s="31">
        <f>SUM($P$36:P113)</f>
        <v>-1278.5691723408797</v>
      </c>
      <c r="R113" s="83">
        <f t="shared" si="22"/>
        <v>-0.16489747919516135</v>
      </c>
      <c r="S113" s="31">
        <f>SUMPRODUCT($P$36:P113,$D$36:D113)/D113-Q113</f>
        <v>-310.45541168026466</v>
      </c>
      <c r="T113" s="31">
        <f t="shared" si="16"/>
        <v>1714.1613872811395</v>
      </c>
      <c r="U113" s="31">
        <f t="shared" si="17"/>
        <v>2335.4013872811393</v>
      </c>
      <c r="V113" s="80" cm="1">
        <f t="array" ref="V113">IF($L$2&lt;&gt;1,IRR(IF(ROW($P$36:P113)=ROW(P113),P113+K113+J113,$P$36:P113),V112/12)*12,0)</f>
        <v>0.17735297219427082</v>
      </c>
      <c r="W113" s="83">
        <f>(1+V113/12)^(B113)-1</f>
        <v>2.0946885144966751</v>
      </c>
    </row>
    <row r="114" spans="2:23" x14ac:dyDescent="0.25">
      <c r="B114" s="33">
        <v>78</v>
      </c>
      <c r="C114" s="105">
        <f t="shared" si="15"/>
        <v>3.9789301544717048E-3</v>
      </c>
      <c r="D114" s="106">
        <f t="shared" si="18"/>
        <v>0.73363713323492541</v>
      </c>
      <c r="E114" s="60">
        <f>rate</f>
        <v>3.5145930840192463E-3</v>
      </c>
      <c r="F114" s="31">
        <f>IF(AND(B113&gt;=gracia,12*años+gracia-B113&gt;0,$L$2&lt;&gt;1),PMT(E113,12*años-B113+gracia,-J113),0)</f>
        <v>-21.169659704331639</v>
      </c>
      <c r="G114" s="31">
        <f>IF(AND(12*años+gracia-B113&gt;0,$L$2&lt;&gt;1),J113*E114,0)</f>
        <v>-13.489561340975929</v>
      </c>
      <c r="H114" s="31">
        <f>IF(AND(12*años+gracia-B113&gt;0,$L$2&lt;&gt;1),F114-G114,0)</f>
        <v>-7.6800983633557109</v>
      </c>
      <c r="I114" s="62"/>
      <c r="J114" s="61">
        <f>J113-H114-I114</f>
        <v>-3830.4772696439327</v>
      </c>
      <c r="K114" s="61">
        <f>K113*(1+$J$17)^(1/12)</f>
        <v>6864.1376200232344</v>
      </c>
      <c r="L114" s="31">
        <f t="shared" si="19"/>
        <v>16</v>
      </c>
      <c r="M114" s="31">
        <f t="shared" si="20"/>
        <v>-2.6666666666666661</v>
      </c>
      <c r="N114" s="31">
        <f t="shared" si="21"/>
        <v>-2.35</v>
      </c>
      <c r="O114" s="62"/>
      <c r="P114" s="31">
        <f>O114+N114+M114+L114+I114+F114</f>
        <v>-10.186326370998305</v>
      </c>
      <c r="Q114" s="31">
        <f>SUM($P$36:P114)</f>
        <v>-1288.7554987118781</v>
      </c>
      <c r="R114" s="83">
        <f t="shared" si="22"/>
        <v>-0.1653059882002442</v>
      </c>
      <c r="S114" s="31">
        <f>SUMPRODUCT($P$36:P114,$D$36:D114)/D114-Q114</f>
        <v>-316.77802951382318</v>
      </c>
      <c r="T114" s="31">
        <f t="shared" si="16"/>
        <v>1744.9048516674238</v>
      </c>
      <c r="U114" s="31">
        <f t="shared" si="17"/>
        <v>2366.1448516674236</v>
      </c>
      <c r="V114" s="80" cm="1">
        <f t="array" ref="V114">IF($L$2&lt;&gt;1,IRR(IF(ROW($P$36:P114)=ROW(P114),P114+K114+J114,$P$36:P114),V113/12)*12,0)</f>
        <v>0.17649300594642892</v>
      </c>
      <c r="W114" s="83">
        <f>(1+V114/12)^(B114)-1</f>
        <v>2.1231745172595531</v>
      </c>
    </row>
    <row r="115" spans="2:23" x14ac:dyDescent="0.25">
      <c r="B115" s="33">
        <v>79</v>
      </c>
      <c r="C115" s="105">
        <f t="shared" si="15"/>
        <v>3.9789301544717048E-3</v>
      </c>
      <c r="D115" s="106">
        <f t="shared" si="18"/>
        <v>0.73072961115035384</v>
      </c>
      <c r="E115" s="60">
        <f>rate</f>
        <v>3.5145930840192463E-3</v>
      </c>
      <c r="F115" s="31">
        <f>IF(AND(B114&gt;=gracia,12*años+gracia-B114&gt;0,$L$2&lt;&gt;1),PMT(E114,12*años-B114+gracia,-J114),0)</f>
        <v>-21.169659704331639</v>
      </c>
      <c r="G115" s="31">
        <f>IF(AND(12*años+gracia-B114&gt;0,$L$2&lt;&gt;1),J114*E115,0)</f>
        <v>-13.462568920383491</v>
      </c>
      <c r="H115" s="31">
        <f>IF(AND(12*años+gracia-B114&gt;0,$L$2&lt;&gt;1),F115-G115,0)</f>
        <v>-7.7070907839481482</v>
      </c>
      <c r="I115" s="62"/>
      <c r="J115" s="61">
        <f>J114-H115-I115</f>
        <v>-3822.7701788599848</v>
      </c>
      <c r="K115" s="61">
        <f>K114*(1+$J$17)^(1/12)</f>
        <v>6897.5491569761707</v>
      </c>
      <c r="L115" s="31">
        <f t="shared" si="19"/>
        <v>16</v>
      </c>
      <c r="M115" s="31">
        <f t="shared" si="20"/>
        <v>-2.6666666666666661</v>
      </c>
      <c r="N115" s="31">
        <f t="shared" si="21"/>
        <v>-2.35</v>
      </c>
      <c r="O115" s="62"/>
      <c r="P115" s="31">
        <f>O115+N115+M115+L115+I115+F115</f>
        <v>-10.186326370998305</v>
      </c>
      <c r="Q115" s="31">
        <f>SUM($P$36:P115)</f>
        <v>-1298.9418250828764</v>
      </c>
      <c r="R115" s="83">
        <f t="shared" si="22"/>
        <v>-0.16570415520519835</v>
      </c>
      <c r="S115" s="31">
        <f>SUMPRODUCT($P$36:P115,$D$36:D115)/D115-Q115</f>
        <v>-323.16633528329567</v>
      </c>
      <c r="T115" s="31">
        <f t="shared" si="16"/>
        <v>1775.8371530333097</v>
      </c>
      <c r="U115" s="31">
        <f t="shared" si="17"/>
        <v>2397.0771530333095</v>
      </c>
      <c r="V115" s="80" cm="1">
        <f t="array" ref="V115">IF($L$2&lt;&gt;1,IRR(IF(ROW($P$36:P115)=ROW(P115),P115+K115+J115,$P$36:P115),V114/12)*12,0)</f>
        <v>0.17564231475630887</v>
      </c>
      <c r="W115" s="83">
        <f>(1+V115/12)^(B115)-1</f>
        <v>2.1516659850913142</v>
      </c>
    </row>
    <row r="116" spans="2:23" x14ac:dyDescent="0.25">
      <c r="B116" s="33">
        <v>80</v>
      </c>
      <c r="C116" s="105">
        <f t="shared" si="15"/>
        <v>3.9789301544717048E-3</v>
      </c>
      <c r="D116" s="106">
        <f t="shared" si="18"/>
        <v>0.72783361204395414</v>
      </c>
      <c r="E116" s="60">
        <f>rate</f>
        <v>3.5145930840192463E-3</v>
      </c>
      <c r="F116" s="31">
        <f>IF(AND(B115&gt;=gracia,12*años+gracia-B115&gt;0,$L$2&lt;&gt;1),PMT(E115,12*años-B115+gracia,-J115),0)</f>
        <v>-21.169659704331639</v>
      </c>
      <c r="G116" s="31">
        <f>IF(AND(12*años+gracia-B115&gt;0,$L$2&lt;&gt;1),J115*E116,0)</f>
        <v>-13.43548163241632</v>
      </c>
      <c r="H116" s="31">
        <f>IF(AND(12*años+gracia-B115&gt;0,$L$2&lt;&gt;1),F116-G116,0)</f>
        <v>-7.7341780719153199</v>
      </c>
      <c r="I116" s="62"/>
      <c r="J116" s="61">
        <f>J115-H116-I116</f>
        <v>-3815.0360007880695</v>
      </c>
      <c r="K116" s="61">
        <f>K115*(1+$J$17)^(1/12)</f>
        <v>6931.1233262746919</v>
      </c>
      <c r="L116" s="31">
        <f t="shared" si="19"/>
        <v>16</v>
      </c>
      <c r="M116" s="31">
        <f t="shared" si="20"/>
        <v>-2.6666666666666661</v>
      </c>
      <c r="N116" s="31">
        <f t="shared" si="21"/>
        <v>-2.35</v>
      </c>
      <c r="O116" s="62"/>
      <c r="P116" s="31">
        <f>O116+N116+M116+L116+I116+F116</f>
        <v>-10.186326370998305</v>
      </c>
      <c r="Q116" s="31">
        <f>SUM($P$36:P116)</f>
        <v>-1309.1281514538748</v>
      </c>
      <c r="R116" s="83">
        <f t="shared" si="22"/>
        <v>-0.16609236803502866</v>
      </c>
      <c r="S116" s="31">
        <f>SUMPRODUCT($P$36:P116,$D$36:D116)/D116-Q116</f>
        <v>-329.62059035639118</v>
      </c>
      <c r="T116" s="31">
        <f t="shared" si="16"/>
        <v>1806.9591740327478</v>
      </c>
      <c r="U116" s="31">
        <f t="shared" si="17"/>
        <v>2428.1991740327476</v>
      </c>
      <c r="V116" s="80" cm="1">
        <f t="array" ref="V116">IF($L$2&lt;&gt;1,IRR(IF(ROW($P$36:P116)=ROW(P116),P116+K116+J116,$P$36:P116),V115/12)*12,0)</f>
        <v>0.17480085255942512</v>
      </c>
      <c r="W116" s="83">
        <f>(1+V116/12)^(B116)-1</f>
        <v>2.1801646030100836</v>
      </c>
    </row>
    <row r="117" spans="2:23" x14ac:dyDescent="0.25">
      <c r="B117" s="33">
        <v>81</v>
      </c>
      <c r="C117" s="105">
        <f t="shared" si="15"/>
        <v>3.9789301544717048E-3</v>
      </c>
      <c r="D117" s="106">
        <f t="shared" si="18"/>
        <v>0.72494909024830834</v>
      </c>
      <c r="E117" s="60">
        <f>rate</f>
        <v>3.5145930840192463E-3</v>
      </c>
      <c r="F117" s="31">
        <f>IF(AND(B116&gt;=gracia,12*años+gracia-B116&gt;0,$L$2&lt;&gt;1),PMT(E116,12*años-B116+gracia,-J116),0)</f>
        <v>-21.169659704331639</v>
      </c>
      <c r="G117" s="31">
        <f>IF(AND(12*años+gracia-B116&gt;0,$L$2&lt;&gt;1),J116*E117,0)</f>
        <v>-13.408299143654192</v>
      </c>
      <c r="H117" s="31">
        <f>IF(AND(12*años+gracia-B116&gt;0,$L$2&lt;&gt;1),F117-G117,0)</f>
        <v>-7.7613605606774474</v>
      </c>
      <c r="I117" s="62"/>
      <c r="J117" s="61">
        <f>J116-H117-I117</f>
        <v>-3807.274640227392</v>
      </c>
      <c r="K117" s="61">
        <f>K116*(1+$J$17)^(1/12)</f>
        <v>6964.8609195399622</v>
      </c>
      <c r="L117" s="31">
        <f t="shared" si="19"/>
        <v>16</v>
      </c>
      <c r="M117" s="31">
        <f t="shared" si="20"/>
        <v>-2.6666666666666661</v>
      </c>
      <c r="N117" s="31">
        <f t="shared" si="21"/>
        <v>-2.35</v>
      </c>
      <c r="O117" s="62"/>
      <c r="P117" s="31">
        <f>O117+N117+M117+L117+I117+F117</f>
        <v>-10.186326370998305</v>
      </c>
      <c r="Q117" s="31">
        <f>SUM($P$36:P117)</f>
        <v>-1319.3144778248732</v>
      </c>
      <c r="R117" s="83">
        <f t="shared" si="22"/>
        <v>-0.1664709953628879</v>
      </c>
      <c r="S117" s="31">
        <f>SUMPRODUCT($P$36:P117,$D$36:D117)/D117-Q117</f>
        <v>-336.14105714078255</v>
      </c>
      <c r="T117" s="31">
        <f t="shared" si="16"/>
        <v>1838.2718014876973</v>
      </c>
      <c r="U117" s="31">
        <f t="shared" si="17"/>
        <v>2459.5118014876971</v>
      </c>
      <c r="V117" s="80" cm="1">
        <f t="array" ref="V117">IF($L$2&lt;&gt;1,IRR(IF(ROW($P$36:P117)=ROW(P117),P117+K117+J117,$P$36:P117),V116/12)*12,0)</f>
        <v>0.17396856563892271</v>
      </c>
      <c r="W117" s="83">
        <f>(1+V117/12)^(B117)-1</f>
        <v>2.2086720290804869</v>
      </c>
    </row>
    <row r="118" spans="2:23" x14ac:dyDescent="0.25">
      <c r="B118" s="33">
        <v>82</v>
      </c>
      <c r="C118" s="105">
        <f t="shared" si="15"/>
        <v>3.9789301544717048E-3</v>
      </c>
      <c r="D118" s="106">
        <f t="shared" si="18"/>
        <v>0.72207600027698593</v>
      </c>
      <c r="E118" s="60">
        <f>rate</f>
        <v>3.5145930840192463E-3</v>
      </c>
      <c r="F118" s="31">
        <f>IF(AND(B117&gt;=gracia,12*años+gracia-B117&gt;0,$L$2&lt;&gt;1),PMT(E117,12*años-B117+gracia,-J117),0)</f>
        <v>-21.169659704331639</v>
      </c>
      <c r="G118" s="31">
        <f>IF(AND(12*años+gracia-B117&gt;0,$L$2&lt;&gt;1),J117*E118,0)</f>
        <v>-13.381021119505055</v>
      </c>
      <c r="H118" s="31">
        <f>IF(AND(12*años+gracia-B117&gt;0,$L$2&lt;&gt;1),F118-G118,0)</f>
        <v>-7.7886385848265842</v>
      </c>
      <c r="I118" s="62"/>
      <c r="J118" s="61">
        <f>J117-H118-I118</f>
        <v>-3799.4860016425655</v>
      </c>
      <c r="K118" s="61">
        <f>K117*(1+$J$17)^(1/12)</f>
        <v>6998.762732246405</v>
      </c>
      <c r="L118" s="31">
        <f t="shared" si="19"/>
        <v>16</v>
      </c>
      <c r="M118" s="31">
        <f t="shared" si="20"/>
        <v>-2.6666666666666661</v>
      </c>
      <c r="N118" s="31">
        <f t="shared" si="21"/>
        <v>-2.35</v>
      </c>
      <c r="O118" s="62"/>
      <c r="P118" s="31">
        <f>O118+N118+M118+L118+I118+F118</f>
        <v>-10.186326370998305</v>
      </c>
      <c r="Q118" s="31">
        <f>SUM($P$36:P118)</f>
        <v>-1329.5008041958715</v>
      </c>
      <c r="R118" s="83">
        <f t="shared" si="22"/>
        <v>-0.16684038787787248</v>
      </c>
      <c r="S118" s="31">
        <f>SUMPRODUCT($P$36:P118,$D$36:D118)/D118-Q118</f>
        <v>-342.72799908824459</v>
      </c>
      <c r="T118" s="31">
        <f t="shared" si="16"/>
        <v>1869.7759264079677</v>
      </c>
      <c r="U118" s="31">
        <f t="shared" si="17"/>
        <v>2491.0159264079675</v>
      </c>
      <c r="V118" s="80" cm="1">
        <f t="array" ref="V118">IF($L$2&lt;&gt;1,IRR(IF(ROW($P$36:P118)=ROW(P118),P118+K118+J118,$P$36:P118),V117/12)*12,0)</f>
        <v>0.17314539351034952</v>
      </c>
      <c r="W118" s="83">
        <f>(1+V118/12)^(B118)-1</f>
        <v>2.2371898952488309</v>
      </c>
    </row>
    <row r="119" spans="2:23" x14ac:dyDescent="0.25">
      <c r="B119" s="33">
        <v>83</v>
      </c>
      <c r="C119" s="105">
        <f t="shared" si="15"/>
        <v>3.9789301544717048E-3</v>
      </c>
      <c r="D119" s="106">
        <f t="shared" si="18"/>
        <v>0.71921429682382643</v>
      </c>
      <c r="E119" s="60">
        <f>rate</f>
        <v>3.5145930840192463E-3</v>
      </c>
      <c r="F119" s="31">
        <f>IF(AND(B118&gt;=gracia,12*años+gracia-B118&gt;0,$L$2&lt;&gt;1),PMT(E118,12*años-B118+gracia,-J118),0)</f>
        <v>-21.169659704331643</v>
      </c>
      <c r="G119" s="31">
        <f>IF(AND(12*años+gracia-B118&gt;0,$L$2&lt;&gt;1),J118*E119,0)</f>
        <v>-13.3536472242009</v>
      </c>
      <c r="H119" s="31">
        <f>IF(AND(12*años+gracia-B118&gt;0,$L$2&lt;&gt;1),F119-G119,0)</f>
        <v>-7.8160124801307429</v>
      </c>
      <c r="I119" s="62"/>
      <c r="J119" s="61">
        <f>J118-H119-I119</f>
        <v>-3791.6699891624348</v>
      </c>
      <c r="K119" s="61">
        <f>K118*(1+$J$17)^(1/12)</f>
        <v>7032.8295637404526</v>
      </c>
      <c r="L119" s="31">
        <f t="shared" si="19"/>
        <v>16</v>
      </c>
      <c r="M119" s="31">
        <f t="shared" si="20"/>
        <v>-2.6666666666666661</v>
      </c>
      <c r="N119" s="31">
        <f t="shared" si="21"/>
        <v>-2.35</v>
      </c>
      <c r="O119" s="62"/>
      <c r="P119" s="31">
        <f>O119+N119+M119+L119+I119+F119</f>
        <v>-10.186326370998309</v>
      </c>
      <c r="Q119" s="31">
        <f>SUM($P$36:P119)</f>
        <v>-1339.6871305668699</v>
      </c>
      <c r="R119" s="83">
        <f t="shared" si="22"/>
        <v>-0.16720087936839959</v>
      </c>
      <c r="S119" s="31">
        <f>SUMPRODUCT($P$36:P119,$D$36:D119)/D119-Q119</f>
        <v>-349.38168069880794</v>
      </c>
      <c r="T119" s="31">
        <f t="shared" si="16"/>
        <v>1901.4724440111477</v>
      </c>
      <c r="U119" s="31">
        <f t="shared" si="17"/>
        <v>2522.7124440111475</v>
      </c>
      <c r="V119" s="80" cm="1">
        <f t="array" ref="V119">IF($L$2&lt;&gt;1,IRR(IF(ROW($P$36:P119)=ROW(P119),P119+K119+J119,$P$36:P119),V118/12)*12,0)</f>
        <v>0.17233126972107549</v>
      </c>
      <c r="W119" s="83">
        <f>(1+V119/12)^(B119)-1</f>
        <v>2.2657198081503616</v>
      </c>
    </row>
    <row r="120" spans="2:23" x14ac:dyDescent="0.25">
      <c r="B120" s="33">
        <v>84</v>
      </c>
      <c r="C120" s="105">
        <f t="shared" si="15"/>
        <v>3.9789301544717048E-3</v>
      </c>
      <c r="D120" s="106">
        <f t="shared" si="18"/>
        <v>0.71636393476222504</v>
      </c>
      <c r="E120" s="60">
        <f>rate</f>
        <v>3.5145930840192463E-3</v>
      </c>
      <c r="F120" s="31">
        <f>IF(AND(B119&gt;=gracia,12*años+gracia-B119&gt;0,$L$2&lt;&gt;1),PMT(E119,12*años-B119+gracia,-J119),0)</f>
        <v>-21.169659704331636</v>
      </c>
      <c r="G120" s="31">
        <f>IF(AND(12*años+gracia-B119&gt;0,$L$2&lt;&gt;1),J119*E120,0)</f>
        <v>-13.326177120793623</v>
      </c>
      <c r="H120" s="31">
        <f>IF(AND(12*años+gracia-B119&gt;0,$L$2&lt;&gt;1),F120-G120,0)</f>
        <v>-7.8434825835380124</v>
      </c>
      <c r="I120" s="62"/>
      <c r="J120" s="61">
        <f>J119-H120-I120</f>
        <v>-3783.8265065788969</v>
      </c>
      <c r="K120" s="61">
        <f>K119*(1+$J$17)^(1/12)</f>
        <v>7067.0622172593985</v>
      </c>
      <c r="L120" s="31">
        <f t="shared" si="19"/>
        <v>16</v>
      </c>
      <c r="M120" s="31">
        <f t="shared" si="20"/>
        <v>-2.6666666666666661</v>
      </c>
      <c r="N120" s="31">
        <f t="shared" si="21"/>
        <v>-2.35</v>
      </c>
      <c r="O120" s="62"/>
      <c r="P120" s="31">
        <f>O120+N120+M120+L120+I120+F120</f>
        <v>-10.186326370998302</v>
      </c>
      <c r="Q120" s="31">
        <f>SUM($P$36:P120)</f>
        <v>-1349.8734569378682</v>
      </c>
      <c r="R120" s="83">
        <f t="shared" si="22"/>
        <v>-0.1675527877281999</v>
      </c>
      <c r="S120" s="31">
        <f>SUMPRODUCT($P$36:P120,$D$36:D120)/D120-Q120</f>
        <v>-356.10236752493051</v>
      </c>
      <c r="T120" s="31">
        <f t="shared" si="16"/>
        <v>1933.3622537426336</v>
      </c>
      <c r="U120" s="31">
        <f t="shared" si="17"/>
        <v>2554.6022537426334</v>
      </c>
      <c r="V120" s="80" cm="1">
        <f t="array" ref="V120">IF($L$2&lt;&gt;1,IRR(IF(ROW($P$36:P120)=ROW(P120),P120+K120+J120,$P$36:P120),V119/12)*12,0)</f>
        <v>0.17152612257267741</v>
      </c>
      <c r="W120" s="83">
        <f>(1+V120/12)^(B120)-1</f>
        <v>2.294263349887895</v>
      </c>
    </row>
    <row r="121" spans="2:23" x14ac:dyDescent="0.25">
      <c r="B121" s="33">
        <v>85</v>
      </c>
      <c r="C121" s="105">
        <f t="shared" si="15"/>
        <v>3.9789301544717048E-3</v>
      </c>
      <c r="D121" s="106">
        <f t="shared" si="18"/>
        <v>0.71352486914442081</v>
      </c>
      <c r="E121" s="60">
        <f>rate</f>
        <v>3.5145930840192463E-3</v>
      </c>
      <c r="F121" s="31">
        <f>IF(AND(B120&gt;=gracia,12*años+gracia-B120&gt;0,$L$2&lt;&gt;1),PMT(E120,12*años-B120+gracia,-J120),0)</f>
        <v>-21.169659704331639</v>
      </c>
      <c r="G121" s="31">
        <f>IF(AND(12*años+gracia-B120&gt;0,$L$2&lt;&gt;1),J120*E121,0)</f>
        <v>-13.298610471150896</v>
      </c>
      <c r="H121" s="31">
        <f>IF(AND(12*años+gracia-B120&gt;0,$L$2&lt;&gt;1),F121-G121,0)</f>
        <v>-7.8710492331807433</v>
      </c>
      <c r="I121" s="62"/>
      <c r="J121" s="61">
        <f>J120-H121-I121</f>
        <v>-3775.9554573457162</v>
      </c>
      <c r="K121" s="61">
        <f>K120*(1+$J$17)^(1/12)</f>
        <v>7101.4614999503337</v>
      </c>
      <c r="L121" s="31">
        <f t="shared" si="19"/>
        <v>16</v>
      </c>
      <c r="M121" s="31">
        <f t="shared" si="20"/>
        <v>-2.6666666666666661</v>
      </c>
      <c r="N121" s="31">
        <f t="shared" si="21"/>
        <v>-2.35</v>
      </c>
      <c r="O121" s="62"/>
      <c r="P121" s="31">
        <f>O121+N121+M121+L121+I121+F121</f>
        <v>-10.186326370998305</v>
      </c>
      <c r="Q121" s="31">
        <f>SUM($P$36:P121)</f>
        <v>-1360.0597833088666</v>
      </c>
      <c r="R121" s="83">
        <f t="shared" si="22"/>
        <v>-0.167896415891299</v>
      </c>
      <c r="S121" s="31">
        <f>SUMPRODUCT($P$36:P121,$D$36:D121)/D121-Q121</f>
        <v>-362.89032617568523</v>
      </c>
      <c r="T121" s="31">
        <f t="shared" si="16"/>
        <v>1965.4462592957507</v>
      </c>
      <c r="U121" s="31">
        <f t="shared" si="17"/>
        <v>2586.6862592957505</v>
      </c>
      <c r="V121" s="80" cm="1">
        <f t="array" ref="V121">IF($L$2&lt;&gt;1,IRR(IF(ROW($P$36:P121)=ROW(P121),P121+K121+J121,$P$36:P121),V120/12)*12,0)</f>
        <v>0.17072987577387799</v>
      </c>
      <c r="W121" s="83">
        <f>(1+V121/12)^(B121)-1</f>
        <v>2.3228220787841423</v>
      </c>
    </row>
    <row r="122" spans="2:23" x14ac:dyDescent="0.25">
      <c r="B122" s="33">
        <v>86</v>
      </c>
      <c r="C122" s="105">
        <f t="shared" si="15"/>
        <v>3.9789301544717048E-3</v>
      </c>
      <c r="D122" s="106">
        <f t="shared" si="18"/>
        <v>0.71069705520078819</v>
      </c>
      <c r="E122" s="60">
        <f>rate</f>
        <v>3.5145930840192463E-3</v>
      </c>
      <c r="F122" s="31">
        <f>IF(AND(B121&gt;=gracia,12*años+gracia-B121&gt;0,$L$2&lt;&gt;1),PMT(E121,12*años-B121+gracia,-J121),0)</f>
        <v>-21.169659704331639</v>
      </c>
      <c r="G122" s="31">
        <f>IF(AND(12*años+gracia-B121&gt;0,$L$2&lt;&gt;1),J121*E122,0)</f>
        <v>-13.270946935951985</v>
      </c>
      <c r="H122" s="31">
        <f>IF(AND(12*años+gracia-B121&gt;0,$L$2&lt;&gt;1),F122-G122,0)</f>
        <v>-7.8987127683796547</v>
      </c>
      <c r="I122" s="62"/>
      <c r="J122" s="61">
        <f>J121-H122-I122</f>
        <v>-3768.0567445773368</v>
      </c>
      <c r="K122" s="61">
        <f>K121*(1+$J$17)^(1/12)</f>
        <v>7136.0282228891792</v>
      </c>
      <c r="L122" s="31">
        <f t="shared" si="19"/>
        <v>16</v>
      </c>
      <c r="M122" s="31">
        <f t="shared" si="20"/>
        <v>-2.6666666666666661</v>
      </c>
      <c r="N122" s="31">
        <f t="shared" si="21"/>
        <v>-2.35</v>
      </c>
      <c r="O122" s="62"/>
      <c r="P122" s="31">
        <f>O122+N122+M122+L122+I122+F122</f>
        <v>-10.186326370998305</v>
      </c>
      <c r="Q122" s="31">
        <f>SUM($P$36:P122)</f>
        <v>-1370.246109679865</v>
      </c>
      <c r="R122" s="83">
        <f t="shared" si="22"/>
        <v>-0.16823205270176789</v>
      </c>
      <c r="S122" s="31">
        <f>SUMPRODUCT($P$36:P122,$D$36:D122)/D122-Q122</f>
        <v>-369.74582432096349</v>
      </c>
      <c r="T122" s="31">
        <f t="shared" si="16"/>
        <v>1997.7253686319773</v>
      </c>
      <c r="U122" s="31">
        <f t="shared" si="17"/>
        <v>2618.9653686319771</v>
      </c>
      <c r="V122" s="80" cm="1">
        <f t="array" ref="V122">IF($L$2&lt;&gt;1,IRR(IF(ROW($P$36:P122)=ROW(P122),P122+K122+J122,$P$36:P122),V121/12)*12,0)</f>
        <v>0.16994244903075373</v>
      </c>
      <c r="W122" s="83">
        <f>(1+V122/12)^(B122)-1</f>
        <v>2.3513975301082199</v>
      </c>
    </row>
    <row r="123" spans="2:23" x14ac:dyDescent="0.25">
      <c r="B123" s="33">
        <v>87</v>
      </c>
      <c r="C123" s="105">
        <f t="shared" si="15"/>
        <v>3.9789301544717048E-3</v>
      </c>
      <c r="D123" s="106">
        <f t="shared" si="18"/>
        <v>0.70788044833913066</v>
      </c>
      <c r="E123" s="60">
        <f>rate</f>
        <v>3.5145930840192463E-3</v>
      </c>
      <c r="F123" s="31">
        <f>IF(AND(B122&gt;=gracia,12*años+gracia-B122&gt;0,$L$2&lt;&gt;1),PMT(E122,12*años-B122+gracia,-J122),0)</f>
        <v>-21.169659704331639</v>
      </c>
      <c r="G123" s="31">
        <f>IF(AND(12*años+gracia-B122&gt;0,$L$2&lt;&gt;1),J122*E123,0)</f>
        <v>-13.243186174683583</v>
      </c>
      <c r="H123" s="31">
        <f>IF(AND(12*años+gracia-B122&gt;0,$L$2&lt;&gt;1),F123-G123,0)</f>
        <v>-7.9264735296480566</v>
      </c>
      <c r="I123" s="62"/>
      <c r="J123" s="61">
        <f>J122-H123-I123</f>
        <v>-3760.1302710476889</v>
      </c>
      <c r="K123" s="61">
        <f>K122*(1+$J$17)^(1/12)</f>
        <v>7170.7632010998077</v>
      </c>
      <c r="L123" s="31">
        <f t="shared" si="19"/>
        <v>16</v>
      </c>
      <c r="M123" s="31">
        <f t="shared" si="20"/>
        <v>-2.6666666666666661</v>
      </c>
      <c r="N123" s="31">
        <f t="shared" si="21"/>
        <v>-2.35</v>
      </c>
      <c r="O123" s="62"/>
      <c r="P123" s="31">
        <f>O123+N123+M123+L123+I123+F123</f>
        <v>-10.186326370998305</v>
      </c>
      <c r="Q123" s="31">
        <f>SUM($P$36:P123)</f>
        <v>-1380.4324360508633</v>
      </c>
      <c r="R123" s="83">
        <f t="shared" si="22"/>
        <v>-0.16855997372349035</v>
      </c>
      <c r="S123" s="31">
        <f>SUMPRODUCT($P$36:P123,$D$36:D123)/D123-Q123</f>
        <v>-376.66913069569705</v>
      </c>
      <c r="T123" s="31">
        <f t="shared" si="16"/>
        <v>2030.2004940012557</v>
      </c>
      <c r="U123" s="31">
        <f t="shared" si="17"/>
        <v>2651.4404940012555</v>
      </c>
      <c r="V123" s="80" cm="1">
        <f t="array" ref="V123">IF($L$2&lt;&gt;1,IRR(IF(ROW($P$36:P123)=ROW(P123),P123+K123+J123,$P$36:P123),V122/12)*12,0)</f>
        <v>0.16916375858026811</v>
      </c>
      <c r="W123" s="83">
        <f>(1+V123/12)^(B123)-1</f>
        <v>2.3799912167773565</v>
      </c>
    </row>
    <row r="124" spans="2:23" x14ac:dyDescent="0.25">
      <c r="B124" s="33">
        <v>88</v>
      </c>
      <c r="C124" s="105">
        <f t="shared" si="15"/>
        <v>3.9789301544717048E-3</v>
      </c>
      <c r="D124" s="106">
        <f t="shared" si="18"/>
        <v>0.70507500414397795</v>
      </c>
      <c r="E124" s="60">
        <f>rate</f>
        <v>3.5145930840192463E-3</v>
      </c>
      <c r="F124" s="31">
        <f>IF(AND(B123&gt;=gracia,12*años+gracia-B123&gt;0,$L$2&lt;&gt;1),PMT(E123,12*años-B123+gracia,-J123),0)</f>
        <v>-21.169659704331643</v>
      </c>
      <c r="G124" s="31">
        <f>IF(AND(12*años+gracia-B123&gt;0,$L$2&lt;&gt;1),J123*E124,0)</f>
        <v>-13.215327845635622</v>
      </c>
      <c r="H124" s="31">
        <f>IF(AND(12*años+gracia-B123&gt;0,$L$2&lt;&gt;1),F124-G124,0)</f>
        <v>-7.9543318586960208</v>
      </c>
      <c r="I124" s="62"/>
      <c r="J124" s="61">
        <f>J123-H124-I124</f>
        <v>-3752.1759391889927</v>
      </c>
      <c r="K124" s="61">
        <f>K123*(1+$J$17)^(1/12)</f>
        <v>7205.6672535732623</v>
      </c>
      <c r="L124" s="31">
        <f t="shared" si="19"/>
        <v>16</v>
      </c>
      <c r="M124" s="31">
        <f t="shared" si="20"/>
        <v>-2.6666666666666661</v>
      </c>
      <c r="N124" s="31">
        <f t="shared" si="21"/>
        <v>-2.35</v>
      </c>
      <c r="O124" s="62"/>
      <c r="P124" s="31">
        <f>O124+N124+M124+L124+I124+F124</f>
        <v>-10.186326370998309</v>
      </c>
      <c r="Q124" s="31">
        <f>SUM($P$36:P124)</f>
        <v>-1390.6187624218617</v>
      </c>
      <c r="R124" s="83">
        <f t="shared" si="22"/>
        <v>-0.16888044199471913</v>
      </c>
      <c r="S124" s="31">
        <f>SUMPRODUCT($P$36:P124,$D$36:D124)/D124-Q124</f>
        <v>-383.6605151040942</v>
      </c>
      <c r="T124" s="31">
        <f t="shared" si="16"/>
        <v>2062.8725519624077</v>
      </c>
      <c r="U124" s="31">
        <f t="shared" si="17"/>
        <v>2684.1125519624075</v>
      </c>
      <c r="V124" s="80" cm="1">
        <f t="array" ref="V124">IF($L$2&lt;&gt;1,IRR(IF(ROW($P$36:P124)=ROW(P124),P124+K124+J124,$P$36:P124),V123/12)*12,0)</f>
        <v>0.16839371767258715</v>
      </c>
      <c r="W124" s="83">
        <f>(1+V124/12)^(B124)-1</f>
        <v>2.4086046300353523</v>
      </c>
    </row>
    <row r="125" spans="2:23" x14ac:dyDescent="0.25">
      <c r="B125" s="33">
        <v>89</v>
      </c>
      <c r="C125" s="105">
        <f t="shared" si="15"/>
        <v>3.9789301544717048E-3</v>
      </c>
      <c r="D125" s="106">
        <f t="shared" si="18"/>
        <v>0.70228067837588526</v>
      </c>
      <c r="E125" s="60">
        <f>rate</f>
        <v>3.5145930840192463E-3</v>
      </c>
      <c r="F125" s="31">
        <f>IF(AND(B124&gt;=gracia,12*años+gracia-B124&gt;0,$L$2&lt;&gt;1),PMT(E124,12*años-B124+gracia,-J124),0)</f>
        <v>-21.169659704331639</v>
      </c>
      <c r="G125" s="31">
        <f>IF(AND(12*años+gracia-B124&gt;0,$L$2&lt;&gt;1),J124*E125,0)</f>
        <v>-13.187371605897054</v>
      </c>
      <c r="H125" s="31">
        <f>IF(AND(12*años+gracia-B124&gt;0,$L$2&lt;&gt;1),F125-G125,0)</f>
        <v>-7.9822880984345854</v>
      </c>
      <c r="I125" s="62"/>
      <c r="J125" s="61">
        <f>J124-H125-I125</f>
        <v>-3744.193651090558</v>
      </c>
      <c r="K125" s="61">
        <f>K124*(1+$J$17)^(1/12)</f>
        <v>7240.741203287067</v>
      </c>
      <c r="L125" s="31">
        <f t="shared" si="19"/>
        <v>16</v>
      </c>
      <c r="M125" s="31">
        <f t="shared" si="20"/>
        <v>-2.6666666666666661</v>
      </c>
      <c r="N125" s="31">
        <f t="shared" si="21"/>
        <v>-2.35</v>
      </c>
      <c r="O125" s="62"/>
      <c r="P125" s="31">
        <f>O125+N125+M125+L125+I125+F125</f>
        <v>-10.186326370998305</v>
      </c>
      <c r="Q125" s="31">
        <f>SUM($P$36:P125)</f>
        <v>-1400.80508879286</v>
      </c>
      <c r="R125" s="83">
        <f t="shared" si="22"/>
        <v>-0.16919370873176301</v>
      </c>
      <c r="S125" s="31">
        <f>SUMPRODUCT($P$36:P125,$D$36:D125)/D125-Q125</f>
        <v>-390.72024842389669</v>
      </c>
      <c r="T125" s="31">
        <f t="shared" si="16"/>
        <v>2095.7424634036488</v>
      </c>
      <c r="U125" s="31">
        <f t="shared" si="17"/>
        <v>2716.9824634036486</v>
      </c>
      <c r="V125" s="80" cm="1">
        <f t="array" ref="V125">IF($L$2&lt;&gt;1,IRR(IF(ROW($P$36:P125)=ROW(P125),P125+K125+J125,$P$36:P125),V124/12)*12,0)</f>
        <v>0.16763223700702401</v>
      </c>
      <c r="W125" s="83">
        <f>(1+V125/12)^(B125)-1</f>
        <v>2.4372392401078775</v>
      </c>
    </row>
    <row r="126" spans="2:23" x14ac:dyDescent="0.25">
      <c r="B126" s="33">
        <v>90</v>
      </c>
      <c r="C126" s="105">
        <f t="shared" si="15"/>
        <v>3.9789301544717048E-3</v>
      </c>
      <c r="D126" s="106">
        <f t="shared" si="18"/>
        <v>0.69949742697073602</v>
      </c>
      <c r="E126" s="60">
        <f>rate</f>
        <v>3.5145930840192463E-3</v>
      </c>
      <c r="F126" s="31">
        <f>IF(AND(B125&gt;=gracia,12*años+gracia-B125&gt;0,$L$2&lt;&gt;1),PMT(E125,12*años-B125+gracia,-J125),0)</f>
        <v>-21.169659704331639</v>
      </c>
      <c r="G126" s="31">
        <f>IF(AND(12*años+gracia-B125&gt;0,$L$2&lt;&gt;1),J125*E126,0)</f>
        <v>-13.159317111351646</v>
      </c>
      <c r="H126" s="31">
        <f>IF(AND(12*años+gracia-B125&gt;0,$L$2&lt;&gt;1),F126-G126,0)</f>
        <v>-8.0103425929799936</v>
      </c>
      <c r="I126" s="62"/>
      <c r="J126" s="61">
        <f>J125-H126-I126</f>
        <v>-3736.1833084975779</v>
      </c>
      <c r="K126" s="61">
        <f>K125*(1+$J$17)^(1/12)</f>
        <v>7275.9858772246298</v>
      </c>
      <c r="L126" s="31">
        <f t="shared" si="19"/>
        <v>16</v>
      </c>
      <c r="M126" s="31">
        <f t="shared" si="20"/>
        <v>-2.6666666666666661</v>
      </c>
      <c r="N126" s="31">
        <f t="shared" si="21"/>
        <v>-2.35</v>
      </c>
      <c r="O126" s="62"/>
      <c r="P126" s="31">
        <f>O126+N126+M126+L126+I126+F126</f>
        <v>-10.186326370998305</v>
      </c>
      <c r="Q126" s="31">
        <f>SUM($P$36:P126)</f>
        <v>-1410.9914151638584</v>
      </c>
      <c r="R126" s="83">
        <f t="shared" si="22"/>
        <v>-0.16950001398576145</v>
      </c>
      <c r="S126" s="31">
        <f>SUMPRODUCT($P$36:P126,$D$36:D126)/D126-Q126</f>
        <v>-397.84860261064841</v>
      </c>
      <c r="T126" s="31">
        <f t="shared" si="16"/>
        <v>2128.8111535631933</v>
      </c>
      <c r="U126" s="31">
        <f t="shared" si="17"/>
        <v>2750.0511535631931</v>
      </c>
      <c r="V126" s="80" cm="1">
        <f t="array" ref="V126">IF($L$2&lt;&gt;1,IRR(IF(ROW($P$36:P126)=ROW(P126),P126+K126+J126,$P$36:P126),V125/12)*12,0)</f>
        <v>0.16687922512603581</v>
      </c>
      <c r="W126" s="83">
        <f>(1+V126/12)^(B126)-1</f>
        <v>2.4658964968361188</v>
      </c>
    </row>
    <row r="127" spans="2:23" x14ac:dyDescent="0.25">
      <c r="B127" s="33">
        <v>91</v>
      </c>
      <c r="C127" s="105">
        <f t="shared" si="15"/>
        <v>3.9789301544717048E-3</v>
      </c>
      <c r="D127" s="106">
        <f t="shared" si="18"/>
        <v>0.69672520603904675</v>
      </c>
      <c r="E127" s="60">
        <f>rate</f>
        <v>3.5145930840192463E-3</v>
      </c>
      <c r="F127" s="31">
        <f>IF(AND(B126&gt;=gracia,12*años+gracia-B126&gt;0,$L$2&lt;&gt;1),PMT(E126,12*años-B126+gracia,-J126),0)</f>
        <v>-21.169659704331643</v>
      </c>
      <c r="G127" s="31">
        <f>IF(AND(12*años+gracia-B126&gt;0,$L$2&lt;&gt;1),J126*E127,0)</f>
        <v>-13.131164016673733</v>
      </c>
      <c r="H127" s="31">
        <f>IF(AND(12*años+gracia-B126&gt;0,$L$2&lt;&gt;1),F127-G127,0)</f>
        <v>-8.0384956876579103</v>
      </c>
      <c r="I127" s="62"/>
      <c r="J127" s="61">
        <f>J126-H127-I127</f>
        <v>-3728.14481280992</v>
      </c>
      <c r="K127" s="61">
        <f>K126*(1+$J$17)^(1/12)</f>
        <v>7311.402106394743</v>
      </c>
      <c r="L127" s="31">
        <f t="shared" si="19"/>
        <v>16</v>
      </c>
      <c r="M127" s="31">
        <f t="shared" si="20"/>
        <v>-2.6666666666666661</v>
      </c>
      <c r="N127" s="31">
        <f t="shared" si="21"/>
        <v>-2.35</v>
      </c>
      <c r="O127" s="62"/>
      <c r="P127" s="31">
        <f>O127+N127+M127+L127+I127+F127</f>
        <v>-10.186326370998309</v>
      </c>
      <c r="Q127" s="31">
        <f>SUM($P$36:P127)</f>
        <v>-1421.1777415348568</v>
      </c>
      <c r="R127" s="83">
        <f t="shared" si="22"/>
        <v>-0.16979958725615557</v>
      </c>
      <c r="S127" s="31">
        <f>SUMPRODUCT($P$36:P127,$D$36:D127)/D127-Q127</f>
        <v>-405.04585070198618</v>
      </c>
      <c r="T127" s="31">
        <f t="shared" si="16"/>
        <v>2162.079552049966</v>
      </c>
      <c r="U127" s="31">
        <f t="shared" si="17"/>
        <v>2783.3195520499658</v>
      </c>
      <c r="V127" s="80" cm="1">
        <f t="array" ref="V127">IF($L$2&lt;&gt;1,IRR(IF(ROW($P$36:P127)=ROW(P127),P127+K127+J127,$P$36:P127),V126/12)*12,0)</f>
        <v>0.16613458877122955</v>
      </c>
      <c r="W127" s="83">
        <f>(1+V127/12)^(B127)-1</f>
        <v>2.4945778302893915</v>
      </c>
    </row>
    <row r="128" spans="2:23" x14ac:dyDescent="0.25">
      <c r="B128" s="33">
        <v>92</v>
      </c>
      <c r="C128" s="105">
        <f t="shared" si="15"/>
        <v>3.9789301544717048E-3</v>
      </c>
      <c r="D128" s="106">
        <f t="shared" si="18"/>
        <v>0.69396397186527503</v>
      </c>
      <c r="E128" s="60">
        <f>rate</f>
        <v>3.5145930840192463E-3</v>
      </c>
      <c r="F128" s="31">
        <f>IF(AND(B127&gt;=gracia,12*años+gracia-B127&gt;0,$L$2&lt;&gt;1),PMT(E127,12*años-B127+gracia,-J127),0)</f>
        <v>-21.169659704331639</v>
      </c>
      <c r="G128" s="31">
        <f>IF(AND(12*años+gracia-B127&gt;0,$L$2&lt;&gt;1),J127*E128,0)</f>
        <v>-13.102911975323973</v>
      </c>
      <c r="H128" s="31">
        <f>IF(AND(12*años+gracia-B127&gt;0,$L$2&lt;&gt;1),F128-G128,0)</f>
        <v>-8.0667477290076661</v>
      </c>
      <c r="I128" s="62"/>
      <c r="J128" s="61">
        <f>J127-H128-I128</f>
        <v>-3720.0780650809124</v>
      </c>
      <c r="K128" s="61">
        <f>K127*(1+$J$17)^(1/12)</f>
        <v>7346.9907258511748</v>
      </c>
      <c r="L128" s="31">
        <f t="shared" si="19"/>
        <v>16</v>
      </c>
      <c r="M128" s="31">
        <f t="shared" si="20"/>
        <v>-2.6666666666666661</v>
      </c>
      <c r="N128" s="31">
        <f t="shared" si="21"/>
        <v>-2.35</v>
      </c>
      <c r="O128" s="62"/>
      <c r="P128" s="31">
        <f>O128+N128+M128+L128+I128+F128</f>
        <v>-10.186326370998305</v>
      </c>
      <c r="Q128" s="31">
        <f>SUM($P$36:P128)</f>
        <v>-1431.3640679058551</v>
      </c>
      <c r="R128" s="83">
        <f t="shared" si="22"/>
        <v>-0.17009264806414975</v>
      </c>
      <c r="S128" s="31">
        <f>SUMPRODUCT($P$36:P128,$D$36:D128)/D128-Q128</f>
        <v>-412.31226682194506</v>
      </c>
      <c r="T128" s="31">
        <f t="shared" si="16"/>
        <v>2195.5485928644075</v>
      </c>
      <c r="U128" s="31">
        <f t="shared" si="17"/>
        <v>2816.7885928644073</v>
      </c>
      <c r="V128" s="80" cm="1">
        <f t="array" ref="V128">IF($L$2&lt;&gt;1,IRR(IF(ROW($P$36:P128)=ROW(P128),P128+K128+J128,$P$36:P128),V127/12)*12,0)</f>
        <v>0.16539823320491287</v>
      </c>
      <c r="W128" s="83">
        <f>(1+V128/12)^(B128)-1</f>
        <v>2.5232846513578742</v>
      </c>
    </row>
    <row r="129" spans="2:23" x14ac:dyDescent="0.25">
      <c r="B129" s="33">
        <v>93</v>
      </c>
      <c r="C129" s="105">
        <f t="shared" si="15"/>
        <v>3.9789301544717048E-3</v>
      </c>
      <c r="D129" s="106">
        <f t="shared" si="18"/>
        <v>0.69121368090713031</v>
      </c>
      <c r="E129" s="60">
        <f>rate</f>
        <v>3.5145930840192463E-3</v>
      </c>
      <c r="F129" s="31">
        <f>IF(AND(B128&gt;=gracia,12*años+gracia-B128&gt;0,$L$2&lt;&gt;1),PMT(E128,12*años-B128+gracia,-J128),0)</f>
        <v>-21.169659704331639</v>
      </c>
      <c r="G129" s="31">
        <f>IF(AND(12*años+gracia-B128&gt;0,$L$2&lt;&gt;1),J128*E129,0)</f>
        <v>-13.074560639545075</v>
      </c>
      <c r="H129" s="31">
        <f>IF(AND(12*años+gracia-B128&gt;0,$L$2&lt;&gt;1),F129-G129,0)</f>
        <v>-8.0950990647865648</v>
      </c>
      <c r="I129" s="62"/>
      <c r="J129" s="61">
        <f>J128-H129-I129</f>
        <v>-3711.9829660161258</v>
      </c>
      <c r="K129" s="61">
        <f>K128*(1+$J$17)^(1/12)</f>
        <v>7382.7525747123618</v>
      </c>
      <c r="L129" s="31">
        <f t="shared" si="19"/>
        <v>16</v>
      </c>
      <c r="M129" s="31">
        <f t="shared" si="20"/>
        <v>-2.6666666666666661</v>
      </c>
      <c r="N129" s="31">
        <f t="shared" si="21"/>
        <v>-2.35</v>
      </c>
      <c r="O129" s="62"/>
      <c r="P129" s="31">
        <f>O129+N129+M129+L129+I129+F129</f>
        <v>-10.186326370998305</v>
      </c>
      <c r="Q129" s="31">
        <f>SUM($P$36:P129)</f>
        <v>-1441.5503942768535</v>
      </c>
      <c r="R129" s="83">
        <f t="shared" si="22"/>
        <v>-0.17037940648917638</v>
      </c>
      <c r="S129" s="31">
        <f>SUMPRODUCT($P$36:P129,$D$36:D129)/D129-Q129</f>
        <v>-419.64812618527935</v>
      </c>
      <c r="T129" s="31">
        <f t="shared" si="16"/>
        <v>2229.2192144193823</v>
      </c>
      <c r="U129" s="31">
        <f t="shared" si="17"/>
        <v>2850.4592144193821</v>
      </c>
      <c r="V129" s="80" cm="1">
        <f t="array" ref="V129">IF($L$2&lt;&gt;1,IRR(IF(ROW($P$36:P129)=ROW(P129),P129+K129+J129,$P$36:P129),V128/12)*12,0)</f>
        <v>0.16467006250043248</v>
      </c>
      <c r="W129" s="83">
        <f>(1+V129/12)^(B129)-1</f>
        <v>2.5520183523252533</v>
      </c>
    </row>
    <row r="130" spans="2:23" x14ac:dyDescent="0.25">
      <c r="B130" s="33">
        <v>94</v>
      </c>
      <c r="C130" s="105">
        <f t="shared" si="15"/>
        <v>3.9789301544717048E-3</v>
      </c>
      <c r="D130" s="106">
        <f t="shared" si="18"/>
        <v>0.6884742897948869</v>
      </c>
      <c r="E130" s="60">
        <f>rate</f>
        <v>3.5145930840192463E-3</v>
      </c>
      <c r="F130" s="31">
        <f>IF(AND(B129&gt;=gracia,12*años+gracia-B129&gt;0,$L$2&lt;&gt;1),PMT(E129,12*años-B129+gracia,-J129),0)</f>
        <v>-21.169659704331636</v>
      </c>
      <c r="G130" s="31">
        <f>IF(AND(12*años+gracia-B129&gt;0,$L$2&lt;&gt;1),J129*E130,0)</f>
        <v>-13.046109660357525</v>
      </c>
      <c r="H130" s="31">
        <f>IF(AND(12*años+gracia-B129&gt;0,$L$2&lt;&gt;1),F130-G130,0)</f>
        <v>-8.1235500439741113</v>
      </c>
      <c r="I130" s="62"/>
      <c r="J130" s="61">
        <f>J129-H130-I130</f>
        <v>-3703.8594159721515</v>
      </c>
      <c r="K130" s="61">
        <f>K129*(1+$J$17)^(1/12)</f>
        <v>7418.6884961811911</v>
      </c>
      <c r="L130" s="31">
        <f t="shared" si="19"/>
        <v>16</v>
      </c>
      <c r="M130" s="31">
        <f t="shared" si="20"/>
        <v>-2.6666666666666661</v>
      </c>
      <c r="N130" s="31">
        <f t="shared" si="21"/>
        <v>-2.35</v>
      </c>
      <c r="O130" s="62"/>
      <c r="P130" s="31">
        <f>O130+N130+M130+L130+I130+F130</f>
        <v>-10.186326370998302</v>
      </c>
      <c r="Q130" s="31">
        <f>SUM($P$36:P130)</f>
        <v>-1451.7367206478518</v>
      </c>
      <c r="R130" s="83">
        <f t="shared" si="22"/>
        <v>-0.1706600636711173</v>
      </c>
      <c r="S130" s="31">
        <f>SUMPRODUCT($P$36:P130,$D$36:D130)/D130-Q130</f>
        <v>-427.05370510180433</v>
      </c>
      <c r="T130" s="31">
        <f t="shared" si="16"/>
        <v>2263.0923595611875</v>
      </c>
      <c r="U130" s="31">
        <f t="shared" si="17"/>
        <v>2884.3323595611873</v>
      </c>
      <c r="V130" s="80" cm="1">
        <f t="array" ref="V130">IF($L$2&lt;&gt;1,IRR(IF(ROW($P$36:P130)=ROW(P130),P130+K130+J130,$P$36:P130),V129/12)*12,0)</f>
        <v>0.16394997980420989</v>
      </c>
      <c r="W130" s="83">
        <f>(1+V130/12)^(B130)-1</f>
        <v>2.5807803074237925</v>
      </c>
    </row>
    <row r="131" spans="2:23" x14ac:dyDescent="0.25">
      <c r="B131" s="33">
        <v>95</v>
      </c>
      <c r="C131" s="105">
        <f t="shared" si="15"/>
        <v>3.9789301544717048E-3</v>
      </c>
      <c r="D131" s="106">
        <f t="shared" si="18"/>
        <v>0.68574575533070059</v>
      </c>
      <c r="E131" s="60">
        <f>rate</f>
        <v>3.5145930840192463E-3</v>
      </c>
      <c r="F131" s="31">
        <f>IF(AND(B130&gt;=gracia,12*años+gracia-B130&gt;0,$L$2&lt;&gt;1),PMT(E130,12*años-B130+gracia,-J130),0)</f>
        <v>-21.169659704331643</v>
      </c>
      <c r="G131" s="31">
        <f>IF(AND(12*años+gracia-B130&gt;0,$L$2&lt;&gt;1),J130*E131,0)</f>
        <v>-13.017558687555288</v>
      </c>
      <c r="H131" s="31">
        <f>IF(AND(12*años+gracia-B130&gt;0,$L$2&lt;&gt;1),F131-G131,0)</f>
        <v>-8.1521010167763546</v>
      </c>
      <c r="I131" s="62"/>
      <c r="J131" s="61">
        <f>J130-H131-I131</f>
        <v>-3695.7073149553753</v>
      </c>
      <c r="K131" s="61">
        <f>K130*(1+$J$17)^(1/12)</f>
        <v>7454.7993375648821</v>
      </c>
      <c r="L131" s="31">
        <f t="shared" si="19"/>
        <v>16</v>
      </c>
      <c r="M131" s="31">
        <f t="shared" si="20"/>
        <v>-2.6666666666666661</v>
      </c>
      <c r="N131" s="31">
        <f t="shared" si="21"/>
        <v>-2.35</v>
      </c>
      <c r="O131" s="62"/>
      <c r="P131" s="31">
        <f>O131+N131+M131+L131+I131+F131</f>
        <v>-10.186326370998309</v>
      </c>
      <c r="Q131" s="31">
        <f>SUM($P$36:P131)</f>
        <v>-1461.9230470188502</v>
      </c>
      <c r="R131" s="83">
        <f t="shared" si="22"/>
        <v>-0.17093481228080684</v>
      </c>
      <c r="S131" s="31">
        <f>SUMPRODUCT($P$36:P131,$D$36:D131)/D131-Q131</f>
        <v>-434.52928098075245</v>
      </c>
      <c r="T131" s="31">
        <f t="shared" si="16"/>
        <v>2297.1689755906564</v>
      </c>
      <c r="U131" s="31">
        <f t="shared" si="17"/>
        <v>2918.4089755906562</v>
      </c>
      <c r="V131" s="80" cm="1">
        <f t="array" ref="V131">IF($L$2&lt;&gt;1,IRR(IF(ROW($P$36:P131)=ROW(P131),P131+K131+J131,$P$36:P131),V130/12)*12,0)</f>
        <v>0.16323788757205904</v>
      </c>
      <c r="W131" s="83">
        <f>(1+V131/12)^(B131)-1</f>
        <v>2.6095718733706712</v>
      </c>
    </row>
    <row r="132" spans="2:23" x14ac:dyDescent="0.25">
      <c r="B132" s="33">
        <v>96</v>
      </c>
      <c r="C132" s="105">
        <f t="shared" si="15"/>
        <v>3.9789301544717048E-3</v>
      </c>
      <c r="D132" s="106">
        <f t="shared" si="18"/>
        <v>0.68302803448792704</v>
      </c>
      <c r="E132" s="60">
        <f>rate</f>
        <v>3.5145930840192463E-3</v>
      </c>
      <c r="F132" s="31">
        <f>IF(AND(B131&gt;=gracia,12*años+gracia-B131&gt;0,$L$2&lt;&gt;1),PMT(E131,12*años-B131+gracia,-J131),0)</f>
        <v>-21.169659704331643</v>
      </c>
      <c r="G132" s="31">
        <f>IF(AND(12*años+gracia-B131&gt;0,$L$2&lt;&gt;1),J131*E132,0)</f>
        <v>-12.988907369701501</v>
      </c>
      <c r="H132" s="31">
        <f>IF(AND(12*años+gracia-B131&gt;0,$L$2&lt;&gt;1),F132-G132,0)</f>
        <v>-8.1807523346301423</v>
      </c>
      <c r="I132" s="62"/>
      <c r="J132" s="61">
        <f>J131-H132-I132</f>
        <v>-3687.5265626207452</v>
      </c>
      <c r="K132" s="61">
        <f>K131*(1+$J$17)^(1/12)</f>
        <v>7491.0859502949652</v>
      </c>
      <c r="L132" s="31">
        <f t="shared" si="19"/>
        <v>16</v>
      </c>
      <c r="M132" s="31">
        <f t="shared" si="20"/>
        <v>-2.6666666666666661</v>
      </c>
      <c r="N132" s="31">
        <f t="shared" si="21"/>
        <v>-2.35</v>
      </c>
      <c r="O132" s="62"/>
      <c r="P132" s="31">
        <f>O132+N132+M132+L132+I132+F132</f>
        <v>-10.186326370998309</v>
      </c>
      <c r="Q132" s="31">
        <f>SUM($P$36:P132)</f>
        <v>-1472.1093733898485</v>
      </c>
      <c r="R132" s="83">
        <f t="shared" si="22"/>
        <v>-0.17120383696112784</v>
      </c>
      <c r="S132" s="31">
        <f>SUMPRODUCT($P$36:P132,$D$36:D132)/D132-Q132</f>
        <v>-442.07513233514783</v>
      </c>
      <c r="T132" s="31">
        <f t="shared" si="16"/>
        <v>2331.4500142843717</v>
      </c>
      <c r="U132" s="31">
        <f t="shared" si="17"/>
        <v>2952.6900142843715</v>
      </c>
      <c r="V132" s="80" cm="1">
        <f t="array" ref="V132">IF($L$2&lt;&gt;1,IRR(IF(ROW($P$36:P132)=ROW(P132),P132+K132+J132,$P$36:P132),V131/12)*12,0)</f>
        <v>0.16253368778217325</v>
      </c>
      <c r="W132" s="83">
        <f>(1+V132/12)^(B132)-1</f>
        <v>2.6383943898873148</v>
      </c>
    </row>
    <row r="133" spans="2:23" x14ac:dyDescent="0.25">
      <c r="B133" s="33">
        <v>97</v>
      </c>
      <c r="C133" s="105">
        <f t="shared" si="15"/>
        <v>3.9789301544717048E-3</v>
      </c>
      <c r="D133" s="106">
        <f t="shared" si="18"/>
        <v>0.68032108441044348</v>
      </c>
      <c r="E133" s="60">
        <f>rate</f>
        <v>3.5145930840192463E-3</v>
      </c>
      <c r="F133" s="31">
        <f>IF(AND(B132&gt;=gracia,12*años+gracia-B132&gt;0,$L$2&lt;&gt;1),PMT(E132,12*años-B132+gracia,-J132),0)</f>
        <v>-21.169659704331639</v>
      </c>
      <c r="G133" s="31">
        <f>IF(AND(12*años+gracia-B132&gt;0,$L$2&lt;&gt;1),J132*E133,0)</f>
        <v>-12.960155354124135</v>
      </c>
      <c r="H133" s="31">
        <f>IF(AND(12*años+gracia-B132&gt;0,$L$2&lt;&gt;1),F133-G133,0)</f>
        <v>-8.2095043502075047</v>
      </c>
      <c r="I133" s="62"/>
      <c r="J133" s="61">
        <f>J132-H133-I133</f>
        <v>-3679.3170582705375</v>
      </c>
      <c r="K133" s="61">
        <f>K132*(1+$J$17)^(1/12)</f>
        <v>7527.5491899473573</v>
      </c>
      <c r="L133" s="31">
        <f t="shared" si="19"/>
        <v>16</v>
      </c>
      <c r="M133" s="31">
        <f t="shared" si="20"/>
        <v>-2.6666666666666661</v>
      </c>
      <c r="N133" s="31">
        <f t="shared" si="21"/>
        <v>-2.35</v>
      </c>
      <c r="O133" s="62"/>
      <c r="P133" s="31">
        <f>O133+N133+M133+L133+I133+F133</f>
        <v>-10.186326370998305</v>
      </c>
      <c r="Q133" s="31">
        <f>SUM($P$36:P133)</f>
        <v>-1482.2956997608469</v>
      </c>
      <c r="R133" s="83">
        <f t="shared" si="22"/>
        <v>-0.17146731474082369</v>
      </c>
      <c r="S133" s="31">
        <f>SUMPRODUCT($P$36:P133,$D$36:D133)/D133-Q133</f>
        <v>-449.69153878619932</v>
      </c>
      <c r="T133" s="31">
        <f t="shared" si="16"/>
        <v>2365.9364319159731</v>
      </c>
      <c r="U133" s="31">
        <f t="shared" si="17"/>
        <v>2987.1764319159729</v>
      </c>
      <c r="V133" s="80" cm="1">
        <f t="array" ref="V133">IF($L$2&lt;&gt;1,IRR(IF(ROW($P$36:P133)=ROW(P133),P133+K133+J133,$P$36:P133),V132/12)*12,0)</f>
        <v>0.16183728212695581</v>
      </c>
      <c r="W133" s="83">
        <f>(1+V133/12)^(B133)-1</f>
        <v>2.6672491802026301</v>
      </c>
    </row>
    <row r="134" spans="2:23" x14ac:dyDescent="0.25">
      <c r="B134" s="33">
        <v>98</v>
      </c>
      <c r="C134" s="105">
        <f t="shared" si="15"/>
        <v>3.9789301544717048E-3</v>
      </c>
      <c r="D134" s="106">
        <f t="shared" si="18"/>
        <v>0.67762486241197273</v>
      </c>
      <c r="E134" s="60">
        <f>rate</f>
        <v>3.5145930840192463E-3</v>
      </c>
      <c r="F134" s="31">
        <f>IF(AND(B133&gt;=gracia,12*años+gracia-B133&gt;0,$L$2&lt;&gt;1),PMT(E133,12*años-B133+gracia,-J133),0)</f>
        <v>-21.169659704331643</v>
      </c>
      <c r="G134" s="31">
        <f>IF(AND(12*años+gracia-B133&gt;0,$L$2&lt;&gt;1),J133*E134,0)</f>
        <v>-12.93130228691167</v>
      </c>
      <c r="H134" s="31">
        <f>IF(AND(12*años+gracia-B133&gt;0,$L$2&lt;&gt;1),F134-G134,0)</f>
        <v>-8.238357417419973</v>
      </c>
      <c r="I134" s="62"/>
      <c r="J134" s="61">
        <f>J133-H134-I134</f>
        <v>-3671.0787008531174</v>
      </c>
      <c r="K134" s="61">
        <f>K133*(1+$J$17)^(1/12)</f>
        <v>7564.1899162625332</v>
      </c>
      <c r="L134" s="31">
        <f t="shared" si="19"/>
        <v>16</v>
      </c>
      <c r="M134" s="31">
        <f t="shared" si="20"/>
        <v>-2.6666666666666661</v>
      </c>
      <c r="N134" s="31">
        <f t="shared" si="21"/>
        <v>-2.35</v>
      </c>
      <c r="O134" s="62"/>
      <c r="P134" s="31">
        <f>O134+N134+M134+L134+I134+F134</f>
        <v>-10.186326370998309</v>
      </c>
      <c r="Q134" s="31">
        <f>SUM($P$36:P134)</f>
        <v>-1492.4820261318453</v>
      </c>
      <c r="R134" s="83">
        <f t="shared" si="22"/>
        <v>-0.1717254154229747</v>
      </c>
      <c r="S134" s="31">
        <f>SUMPRODUCT($P$36:P134,$D$36:D134)/D134-Q134</f>
        <v>-457.37878106770881</v>
      </c>
      <c r="T134" s="31">
        <f t="shared" si="16"/>
        <v>2400.6291892775707</v>
      </c>
      <c r="U134" s="31">
        <f t="shared" si="17"/>
        <v>3021.8691892775705</v>
      </c>
      <c r="V134" s="80" cm="1">
        <f t="array" ref="V134">IF($L$2&lt;&gt;1,IRR(IF(ROW($P$36:P134)=ROW(P134),P134+K134+J134,$P$36:P134),V133/12)*12,0)</f>
        <v>0.16114857218558321</v>
      </c>
      <c r="W134" s="83">
        <f>(1+V134/12)^(B134)-1</f>
        <v>2.6961375515400645</v>
      </c>
    </row>
    <row r="135" spans="2:23" x14ac:dyDescent="0.25">
      <c r="B135" s="33">
        <v>99</v>
      </c>
      <c r="C135" s="105">
        <f t="shared" si="15"/>
        <v>3.9789301544717048E-3</v>
      </c>
      <c r="D135" s="106">
        <f t="shared" si="18"/>
        <v>0.6749393259754104</v>
      </c>
      <c r="E135" s="60">
        <f>rate</f>
        <v>3.5145930840192463E-3</v>
      </c>
      <c r="F135" s="31">
        <f>IF(AND(B134&gt;=gracia,12*años+gracia-B134&gt;0,$L$2&lt;&gt;1),PMT(E134,12*años-B134+gracia,-J134),0)</f>
        <v>-21.169659704331636</v>
      </c>
      <c r="G135" s="31">
        <f>IF(AND(12*años+gracia-B134&gt;0,$L$2&lt;&gt;1),J134*E135,0)</f>
        <v>-12.902347812908726</v>
      </c>
      <c r="H135" s="31">
        <f>IF(AND(12*años+gracia-B134&gt;0,$L$2&lt;&gt;1),F135-G135,0)</f>
        <v>-8.26731189142291</v>
      </c>
      <c r="I135" s="62"/>
      <c r="J135" s="61">
        <f>J134-H135-I135</f>
        <v>-3662.8113889616943</v>
      </c>
      <c r="K135" s="61">
        <f>K134*(1+$J$17)^(1/12)</f>
        <v>7601.0089931657994</v>
      </c>
      <c r="L135" s="31">
        <f t="shared" si="19"/>
        <v>16</v>
      </c>
      <c r="M135" s="31">
        <f t="shared" si="20"/>
        <v>-2.6666666666666661</v>
      </c>
      <c r="N135" s="31">
        <f t="shared" si="21"/>
        <v>-2.35</v>
      </c>
      <c r="O135" s="62"/>
      <c r="P135" s="31">
        <f>O135+N135+M135+L135+I135+F135</f>
        <v>-10.186326370998302</v>
      </c>
      <c r="Q135" s="31">
        <f>SUM($P$36:P135)</f>
        <v>-1502.6683525028436</v>
      </c>
      <c r="R135" s="83">
        <f t="shared" si="22"/>
        <v>-0.17197830194993077</v>
      </c>
      <c r="S135" s="31">
        <f>SUMPRODUCT($P$36:P135,$D$36:D135)/D135-Q135</f>
        <v>-465.13714103049756</v>
      </c>
      <c r="T135" s="31">
        <f t="shared" si="16"/>
        <v>2435.5292517012613</v>
      </c>
      <c r="U135" s="31">
        <f t="shared" si="17"/>
        <v>3056.7692517012611</v>
      </c>
      <c r="V135" s="80" cm="1">
        <f t="array" ref="V135">IF($L$2&lt;&gt;1,IRR(IF(ROW($P$36:P135)=ROW(P135),P135+K135+J135,$P$36:P135),V134/12)*12,0)</f>
        <v>0.16046745957906783</v>
      </c>
      <c r="W135" s="83">
        <f>(1+V135/12)^(B135)-1</f>
        <v>2.7250607955887651</v>
      </c>
    </row>
    <row r="136" spans="2:23" x14ac:dyDescent="0.25">
      <c r="B136" s="33">
        <v>100</v>
      </c>
      <c r="C136" s="105">
        <f t="shared" si="15"/>
        <v>3.9789301544717048E-3</v>
      </c>
      <c r="D136" s="106">
        <f t="shared" si="18"/>
        <v>0.67226443275215408</v>
      </c>
      <c r="E136" s="60">
        <f>rate</f>
        <v>3.5145930840192463E-3</v>
      </c>
      <c r="F136" s="31">
        <f>IF(AND(B135&gt;=gracia,12*años+gracia-B135&gt;0,$L$2&lt;&gt;1),PMT(E135,12*años-B135+gracia,-J135),0)</f>
        <v>-21.169659704331636</v>
      </c>
      <c r="G136" s="31">
        <f>IF(AND(12*años+gracia-B135&gt;0,$L$2&lt;&gt;1),J135*E136,0)</f>
        <v>-12.873291575711701</v>
      </c>
      <c r="H136" s="31">
        <f>IF(AND(12*años+gracia-B135&gt;0,$L$2&lt;&gt;1),F136-G136,0)</f>
        <v>-8.2963681286199353</v>
      </c>
      <c r="I136" s="62"/>
      <c r="J136" s="61">
        <f>J135-H136-I136</f>
        <v>-3654.5150208330742</v>
      </c>
      <c r="K136" s="61">
        <f>K135*(1+$J$17)^(1/12)</f>
        <v>7638.0072887876613</v>
      </c>
      <c r="L136" s="31">
        <f t="shared" si="19"/>
        <v>16</v>
      </c>
      <c r="M136" s="31">
        <f t="shared" si="20"/>
        <v>-2.6666666666666661</v>
      </c>
      <c r="N136" s="31">
        <f t="shared" si="21"/>
        <v>-2.35</v>
      </c>
      <c r="O136" s="62"/>
      <c r="P136" s="31">
        <f>O136+N136+M136+L136+I136+F136</f>
        <v>-10.186326370998302</v>
      </c>
      <c r="Q136" s="31">
        <f>SUM($P$36:P136)</f>
        <v>-1512.854678873842</v>
      </c>
      <c r="R136" s="83">
        <f t="shared" si="22"/>
        <v>-0.17222613074634768</v>
      </c>
      <c r="S136" s="31">
        <f>SUMPRODUCT($P$36:P136,$D$36:D136)/D136-Q136</f>
        <v>-472.96690164685242</v>
      </c>
      <c r="T136" s="31">
        <f t="shared" si="16"/>
        <v>2470.6375890807449</v>
      </c>
      <c r="U136" s="31">
        <f t="shared" si="17"/>
        <v>3091.8775890807447</v>
      </c>
      <c r="V136" s="80" cm="1">
        <f t="array" ref="V136">IF($L$2&lt;&gt;1,IRR(IF(ROW($P$36:P136)=ROW(P136),P136+K136+J136,$P$36:P136),V135/12)*12,0)</f>
        <v>0.15979384610945591</v>
      </c>
      <c r="W136" s="83">
        <f>(1+V136/12)^(B136)-1</f>
        <v>2.7540201889612197</v>
      </c>
    </row>
    <row r="137" spans="2:23" x14ac:dyDescent="0.25">
      <c r="B137" s="33">
        <v>101</v>
      </c>
      <c r="C137" s="105">
        <f t="shared" si="15"/>
        <v>3.9789301544717048E-3</v>
      </c>
      <c r="D137" s="106">
        <f t="shared" si="18"/>
        <v>0.66960014056143569</v>
      </c>
      <c r="E137" s="60">
        <f>rate</f>
        <v>3.5145930840192463E-3</v>
      </c>
      <c r="F137" s="31">
        <f>IF(AND(B136&gt;=gracia,12*años+gracia-B136&gt;0,$L$2&lt;&gt;1),PMT(E136,12*años-B136+gracia,-J136),0)</f>
        <v>-21.169659704331632</v>
      </c>
      <c r="G137" s="31">
        <f>IF(AND(12*años+gracia-B136&gt;0,$L$2&lt;&gt;1),J136*E137,0)</f>
        <v>-12.844133217664375</v>
      </c>
      <c r="H137" s="31">
        <f>IF(AND(12*años+gracia-B136&gt;0,$L$2&lt;&gt;1),F137-G137,0)</f>
        <v>-8.3255264866672576</v>
      </c>
      <c r="I137" s="62"/>
      <c r="J137" s="61">
        <f>J136-H137-I137</f>
        <v>-3646.1894943464072</v>
      </c>
      <c r="K137" s="61">
        <f>K136*(1+$J$17)^(1/12)</f>
        <v>7675.1856754842938</v>
      </c>
      <c r="L137" s="31">
        <f t="shared" si="19"/>
        <v>16</v>
      </c>
      <c r="M137" s="31">
        <f t="shared" si="20"/>
        <v>-2.6666666666666661</v>
      </c>
      <c r="N137" s="31">
        <f t="shared" si="21"/>
        <v>-2.35</v>
      </c>
      <c r="O137" s="62"/>
      <c r="P137" s="31">
        <f>O137+N137+M137+L137+I137+F137</f>
        <v>-10.186326370998298</v>
      </c>
      <c r="Q137" s="31">
        <f>SUM($P$36:P137)</f>
        <v>-1523.0410052448403</v>
      </c>
      <c r="R137" s="83">
        <f t="shared" si="22"/>
        <v>-0.17246905204184546</v>
      </c>
      <c r="S137" s="31">
        <f>SUMPRODUCT($P$36:P137,$D$36:D137)/D137-Q137</f>
        <v>-480.86834701498697</v>
      </c>
      <c r="T137" s="31">
        <f t="shared" si="16"/>
        <v>2505.9551758930465</v>
      </c>
      <c r="U137" s="31">
        <f t="shared" si="17"/>
        <v>3127.1951758930463</v>
      </c>
      <c r="V137" s="80" cm="1">
        <f t="array" ref="V137">IF($L$2&lt;&gt;1,IRR(IF(ROW($P$36:P137)=ROW(P137),P137+K137+J137,$P$36:P137),V136/12)*12,0)</f>
        <v>0.15912763388455176</v>
      </c>
      <c r="W137" s="83">
        <f>(1+V137/12)^(B137)-1</f>
        <v>2.7830169936357056</v>
      </c>
    </row>
    <row r="138" spans="2:23" x14ac:dyDescent="0.25">
      <c r="B138" s="33">
        <v>102</v>
      </c>
      <c r="C138" s="105">
        <f t="shared" si="15"/>
        <v>3.9789301544717048E-3</v>
      </c>
      <c r="D138" s="106">
        <f t="shared" si="18"/>
        <v>0.66694640738965638</v>
      </c>
      <c r="E138" s="60">
        <f>rate</f>
        <v>3.5145930840192463E-3</v>
      </c>
      <c r="F138" s="31">
        <f>IF(AND(B137&gt;=gracia,12*años+gracia-B137&gt;0,$L$2&lt;&gt;1),PMT(E137,12*años-B137+gracia,-J137),0)</f>
        <v>-21.169659704331639</v>
      </c>
      <c r="G138" s="31">
        <f>IF(AND(12*años+gracia-B137&gt;0,$L$2&lt;&gt;1),J137*E138,0)</f>
        <v>-12.814872379853515</v>
      </c>
      <c r="H138" s="31">
        <f>IF(AND(12*años+gracia-B137&gt;0,$L$2&lt;&gt;1),F138-G138,0)</f>
        <v>-8.3547873244781243</v>
      </c>
      <c r="I138" s="62"/>
      <c r="J138" s="61">
        <f>J137-H138-I138</f>
        <v>-3637.8347070219293</v>
      </c>
      <c r="K138" s="61">
        <f>K137*(1+$J$17)^(1/12)</f>
        <v>7712.54502985811</v>
      </c>
      <c r="L138" s="31">
        <f t="shared" si="19"/>
        <v>16</v>
      </c>
      <c r="M138" s="31">
        <f t="shared" si="20"/>
        <v>-2.6666666666666661</v>
      </c>
      <c r="N138" s="31">
        <f t="shared" si="21"/>
        <v>-2.35</v>
      </c>
      <c r="O138" s="62"/>
      <c r="P138" s="31">
        <f>O138+N138+M138+L138+I138+F138</f>
        <v>-10.186326370998305</v>
      </c>
      <c r="Q138" s="31">
        <f>SUM($P$36:P138)</f>
        <v>-1533.2273316158387</v>
      </c>
      <c r="R138" s="83">
        <f t="shared" si="22"/>
        <v>-0.17270721017468643</v>
      </c>
      <c r="S138" s="31">
        <f>SUMPRODUCT($P$36:P138,$D$36:D138)/D138-Q138</f>
        <v>-488.84176236352164</v>
      </c>
      <c r="T138" s="31">
        <f t="shared" si="16"/>
        <v>2541.4829912203422</v>
      </c>
      <c r="U138" s="31">
        <f t="shared" si="17"/>
        <v>3162.722991220342</v>
      </c>
      <c r="V138" s="80" cm="1">
        <f t="array" ref="V138">IF($L$2&lt;&gt;1,IRR(IF(ROW($P$36:P138)=ROW(P138),P138+K138+J138,$P$36:P138),V137/12)*12,0)</f>
        <v>0.15846872542951917</v>
      </c>
      <c r="W138" s="83">
        <f>(1+V138/12)^(B138)-1</f>
        <v>2.8120524573859744</v>
      </c>
    </row>
    <row r="139" spans="2:23" x14ac:dyDescent="0.25">
      <c r="B139" s="33">
        <v>103</v>
      </c>
      <c r="C139" s="105">
        <f t="shared" si="15"/>
        <v>3.9789301544717048E-3</v>
      </c>
      <c r="D139" s="106">
        <f t="shared" si="18"/>
        <v>0.66430319138972405</v>
      </c>
      <c r="E139" s="60">
        <f>rate</f>
        <v>3.5145930840192463E-3</v>
      </c>
      <c r="F139" s="31">
        <f>IF(AND(B138&gt;=gracia,12*años+gracia-B138&gt;0,$L$2&lt;&gt;1),PMT(E138,12*años-B138+gracia,-J138),0)</f>
        <v>-21.169659704331639</v>
      </c>
      <c r="G139" s="31">
        <f>IF(AND(12*años+gracia-B138&gt;0,$L$2&lt;&gt;1),J138*E139,0)</f>
        <v>-12.785508702104453</v>
      </c>
      <c r="H139" s="31">
        <f>IF(AND(12*años+gracia-B138&gt;0,$L$2&lt;&gt;1),F139-G139,0)</f>
        <v>-8.3841510022271866</v>
      </c>
      <c r="I139" s="62"/>
      <c r="J139" s="61">
        <f>J138-H139-I139</f>
        <v>-3629.4505560197022</v>
      </c>
      <c r="K139" s="61">
        <f>K138*(1+$J$17)^(1/12)</f>
        <v>7750.0862327784298</v>
      </c>
      <c r="L139" s="31">
        <f t="shared" si="19"/>
        <v>16</v>
      </c>
      <c r="M139" s="31">
        <f t="shared" si="20"/>
        <v>-2.6666666666666661</v>
      </c>
      <c r="N139" s="31">
        <f t="shared" si="21"/>
        <v>-2.35</v>
      </c>
      <c r="O139" s="62"/>
      <c r="P139" s="31">
        <f>O139+N139+M139+L139+I139+F139</f>
        <v>-10.186326370998305</v>
      </c>
      <c r="Q139" s="31">
        <f>SUM($P$36:P139)</f>
        <v>-1543.4136579868371</v>
      </c>
      <c r="R139" s="83">
        <f t="shared" si="22"/>
        <v>-0.17294074387776348</v>
      </c>
      <c r="S139" s="31">
        <f>SUMPRODUCT($P$36:P139,$D$36:D139)/D139-Q139</f>
        <v>-496.88743405598143</v>
      </c>
      <c r="T139" s="31">
        <f t="shared" si="16"/>
        <v>2577.2220187718904</v>
      </c>
      <c r="U139" s="31">
        <f t="shared" si="17"/>
        <v>3198.4620187718901</v>
      </c>
      <c r="V139" s="80" cm="1">
        <f t="array" ref="V139">IF($L$2&lt;&gt;1,IRR(IF(ROW($P$36:P139)=ROW(P139),P139+K139+J139,$P$36:P139),V138/12)*12,0)</f>
        <v>0.15781702378649776</v>
      </c>
      <c r="W139" s="83">
        <f>(1+V139/12)^(B139)-1</f>
        <v>2.8411278141967937</v>
      </c>
    </row>
    <row r="140" spans="2:23" x14ac:dyDescent="0.25">
      <c r="B140" s="33">
        <v>104</v>
      </c>
      <c r="C140" s="105">
        <f t="shared" si="15"/>
        <v>3.9789301544717048E-3</v>
      </c>
      <c r="D140" s="106">
        <f t="shared" si="18"/>
        <v>0.66167045088039311</v>
      </c>
      <c r="E140" s="60">
        <f>rate</f>
        <v>3.5145930840192463E-3</v>
      </c>
      <c r="F140" s="31">
        <f>IF(AND(B139&gt;=gracia,12*años+gracia-B139&gt;0,$L$2&lt;&gt;1),PMT(E139,12*años-B139+gracia,-J139),0)</f>
        <v>-21.169659704331639</v>
      </c>
      <c r="G140" s="31">
        <f>IF(AND(12*años+gracia-B139&gt;0,$L$2&lt;&gt;1),J139*E140,0)</f>
        <v>-12.756041822976654</v>
      </c>
      <c r="H140" s="31">
        <f>IF(AND(12*años+gracia-B139&gt;0,$L$2&lt;&gt;1),F140-G140,0)</f>
        <v>-8.4136178813549858</v>
      </c>
      <c r="I140" s="62"/>
      <c r="J140" s="61">
        <f>J139-H140-I140</f>
        <v>-3621.0369381383471</v>
      </c>
      <c r="K140" s="61">
        <f>K139*(1+$J$17)^(1/12)</f>
        <v>7787.810169402248</v>
      </c>
      <c r="L140" s="31">
        <f t="shared" si="19"/>
        <v>16</v>
      </c>
      <c r="M140" s="31">
        <f t="shared" si="20"/>
        <v>-2.6666666666666661</v>
      </c>
      <c r="N140" s="31">
        <f t="shared" si="21"/>
        <v>-2.35</v>
      </c>
      <c r="O140" s="62"/>
      <c r="P140" s="31">
        <f>O140+N140+M140+L140+I140+F140</f>
        <v>-10.186326370998305</v>
      </c>
      <c r="Q140" s="31">
        <f>SUM($P$36:P140)</f>
        <v>-1553.5999843578354</v>
      </c>
      <c r="R140" s="83">
        <f t="shared" si="22"/>
        <v>-0.17316978654808909</v>
      </c>
      <c r="S140" s="31">
        <f>SUMPRODUCT($P$36:P140,$D$36:D140)/D140-Q140</f>
        <v>-505.00564959531198</v>
      </c>
      <c r="T140" s="31">
        <f t="shared" si="16"/>
        <v>2613.1732469060653</v>
      </c>
      <c r="U140" s="31">
        <f t="shared" si="17"/>
        <v>3234.4132469060651</v>
      </c>
      <c r="V140" s="80" cm="1">
        <f t="array" ref="V140">IF($L$2&lt;&gt;1,IRR(IF(ROW($P$36:P140)=ROW(P140),P140+K140+J140,$P$36:P140),V139/12)*12,0)</f>
        <v>0.1571724326033932</v>
      </c>
      <c r="W140" s="83">
        <f>(1+V140/12)^(B140)-1</f>
        <v>2.8702442846680261</v>
      </c>
    </row>
    <row r="141" spans="2:23" x14ac:dyDescent="0.25">
      <c r="B141" s="33">
        <v>105</v>
      </c>
      <c r="C141" s="105">
        <f t="shared" si="15"/>
        <v>3.9789301544717048E-3</v>
      </c>
      <c r="D141" s="106">
        <f t="shared" si="18"/>
        <v>0.65904814434560777</v>
      </c>
      <c r="E141" s="60">
        <f>rate</f>
        <v>3.5145930840192463E-3</v>
      </c>
      <c r="F141" s="31">
        <f>IF(AND(B140&gt;=gracia,12*años+gracia-B140&gt;0,$L$2&lt;&gt;1),PMT(E140,12*años-B140+gracia,-J140),0)</f>
        <v>-21.169659704331639</v>
      </c>
      <c r="G141" s="31">
        <f>IF(AND(12*años+gracia-B140&gt;0,$L$2&lt;&gt;1),J140*E141,0)</f>
        <v>-12.726471379759262</v>
      </c>
      <c r="H141" s="31">
        <f>IF(AND(12*años+gracia-B140&gt;0,$L$2&lt;&gt;1),F141-G141,0)</f>
        <v>-8.4431883245723771</v>
      </c>
      <c r="I141" s="62"/>
      <c r="J141" s="61">
        <f>J140-H141-I141</f>
        <v>-3612.5937498137746</v>
      </c>
      <c r="K141" s="61">
        <f>K140*(1+$J$17)^(1/12)</f>
        <v>7825.7177291951066</v>
      </c>
      <c r="L141" s="31">
        <f t="shared" si="19"/>
        <v>16</v>
      </c>
      <c r="M141" s="31">
        <f t="shared" si="20"/>
        <v>-2.6666666666666661</v>
      </c>
      <c r="N141" s="31">
        <f t="shared" si="21"/>
        <v>-2.35</v>
      </c>
      <c r="O141" s="62"/>
      <c r="P141" s="31">
        <f>O141+N141+M141+L141+I141+F141</f>
        <v>-10.186326370998305</v>
      </c>
      <c r="Q141" s="31">
        <f>SUM($P$36:P141)</f>
        <v>-1563.7863107288338</v>
      </c>
      <c r="R141" s="83">
        <f t="shared" si="22"/>
        <v>-0.17339446650088464</v>
      </c>
      <c r="S141" s="31">
        <f>SUMPRODUCT($P$36:P141,$D$36:D141)/D141-Q141</f>
        <v>-513.19669762841363</v>
      </c>
      <c r="T141" s="31">
        <f t="shared" si="16"/>
        <v>2649.337668652498</v>
      </c>
      <c r="U141" s="31">
        <f t="shared" si="17"/>
        <v>3270.5776686524978</v>
      </c>
      <c r="V141" s="80" cm="1">
        <f t="array" ref="V141">IF($L$2&lt;&gt;1,IRR(IF(ROW($P$36:P141)=ROW(P141),P141+K141+J141,$P$36:P141),V140/12)*12,0)</f>
        <v>0.15653485621274488</v>
      </c>
      <c r="W141" s="83">
        <f>(1+V141/12)^(B141)-1</f>
        <v>2.8994030764056986</v>
      </c>
    </row>
    <row r="142" spans="2:23" x14ac:dyDescent="0.25">
      <c r="B142" s="33">
        <v>106</v>
      </c>
      <c r="C142" s="105">
        <f t="shared" si="15"/>
        <v>3.9789301544717048E-3</v>
      </c>
      <c r="D142" s="106">
        <f t="shared" si="18"/>
        <v>0.6564362304338468</v>
      </c>
      <c r="E142" s="60">
        <f>rate</f>
        <v>3.5145930840192463E-3</v>
      </c>
      <c r="F142" s="31">
        <f>IF(AND(B141&gt;=gracia,12*años+gracia-B141&gt;0,$L$2&lt;&gt;1),PMT(E141,12*años-B141+gracia,-J141),0)</f>
        <v>-21.169659704331636</v>
      </c>
      <c r="G142" s="31">
        <f>IF(AND(12*años+gracia-B141&gt;0,$L$2&lt;&gt;1),J141*E142,0)</f>
        <v>-12.696797008466648</v>
      </c>
      <c r="H142" s="31">
        <f>IF(AND(12*años+gracia-B141&gt;0,$L$2&lt;&gt;1),F142-G142,0)</f>
        <v>-8.472862695864988</v>
      </c>
      <c r="I142" s="62"/>
      <c r="J142" s="61">
        <f>J141-H142-I142</f>
        <v>-3604.1208871179097</v>
      </c>
      <c r="K142" s="61">
        <f>K141*(1+$J$17)^(1/12)</f>
        <v>7863.8098059520653</v>
      </c>
      <c r="L142" s="31">
        <f t="shared" si="19"/>
        <v>16</v>
      </c>
      <c r="M142" s="31">
        <f t="shared" si="20"/>
        <v>-2.6666666666666661</v>
      </c>
      <c r="N142" s="31">
        <f t="shared" si="21"/>
        <v>-2.35</v>
      </c>
      <c r="O142" s="62"/>
      <c r="P142" s="31">
        <f>O142+N142+M142+L142+I142+F142</f>
        <v>-10.186326370998302</v>
      </c>
      <c r="Q142" s="31">
        <f>SUM($P$36:P142)</f>
        <v>-1573.9726370998321</v>
      </c>
      <c r="R142" s="83">
        <f t="shared" si="22"/>
        <v>-0.17361490720928782</v>
      </c>
      <c r="S142" s="31">
        <f>SUMPRODUCT($P$36:P142,$D$36:D142)/D142-Q142</f>
        <v>-521.46086795069118</v>
      </c>
      <c r="T142" s="31">
        <f t="shared" si="16"/>
        <v>2685.7162817343233</v>
      </c>
      <c r="U142" s="31">
        <f t="shared" si="17"/>
        <v>3306.9562817343231</v>
      </c>
      <c r="V142" s="80" cm="1">
        <f t="array" ref="V142">IF($L$2&lt;&gt;1,IRR(IF(ROW($P$36:P142)=ROW(P142),P142+K142+J142,$P$36:P142),V141/12)*12,0)</f>
        <v>0.15590419970161395</v>
      </c>
      <c r="W142" s="83">
        <f>(1+V142/12)^(B142)-1</f>
        <v>2.928605384401652</v>
      </c>
    </row>
    <row r="143" spans="2:23" x14ac:dyDescent="0.25">
      <c r="B143" s="33">
        <v>107</v>
      </c>
      <c r="C143" s="105">
        <f t="shared" si="15"/>
        <v>3.9789301544717048E-3</v>
      </c>
      <c r="D143" s="106">
        <f t="shared" si="18"/>
        <v>0.6538346679574718</v>
      </c>
      <c r="E143" s="60">
        <f>rate</f>
        <v>3.5145930840192463E-3</v>
      </c>
      <c r="F143" s="31">
        <f>IF(AND(B142&gt;=gracia,12*años+gracia-B142&gt;0,$L$2&lt;&gt;1),PMT(E142,12*años-B142+gracia,-J142),0)</f>
        <v>-21.169659704331639</v>
      </c>
      <c r="G143" s="31">
        <f>IF(AND(12*años+gracia-B142&gt;0,$L$2&lt;&gt;1),J142*E143,0)</f>
        <v>-12.667018343833917</v>
      </c>
      <c r="H143" s="31">
        <f>IF(AND(12*años+gracia-B142&gt;0,$L$2&lt;&gt;1),F143-G143,0)</f>
        <v>-8.5026413604977229</v>
      </c>
      <c r="I143" s="62"/>
      <c r="J143" s="61">
        <f>J142-H143-I143</f>
        <v>-3595.6182457574118</v>
      </c>
      <c r="K143" s="61">
        <f>K142*(1+$J$17)^(1/12)</f>
        <v>7902.0872978187772</v>
      </c>
      <c r="L143" s="31">
        <f t="shared" si="19"/>
        <v>16</v>
      </c>
      <c r="M143" s="31">
        <f t="shared" si="20"/>
        <v>-2.6666666666666661</v>
      </c>
      <c r="N143" s="31">
        <f t="shared" si="21"/>
        <v>-2.35</v>
      </c>
      <c r="O143" s="62"/>
      <c r="P143" s="31">
        <f>O143+N143+M143+L143+I143+F143</f>
        <v>-10.186326370998305</v>
      </c>
      <c r="Q143" s="31">
        <f>SUM($P$36:P143)</f>
        <v>-1584.1589634708305</v>
      </c>
      <c r="R143" s="83">
        <f t="shared" si="22"/>
        <v>-0.17383122753061811</v>
      </c>
      <c r="S143" s="31">
        <f>SUMPRODUCT($P$36:P143,$D$36:D143)/D143-Q143</f>
        <v>-529.7984515106275</v>
      </c>
      <c r="T143" s="31">
        <f t="shared" si="16"/>
        <v>2722.3100885905351</v>
      </c>
      <c r="U143" s="31">
        <f t="shared" si="17"/>
        <v>3343.5500885905349</v>
      </c>
      <c r="V143" s="80" cm="1">
        <f t="array" ref="V143">IF($L$2&lt;&gt;1,IRR(IF(ROW($P$36:P143)=ROW(P143),P143+K143+J143,$P$36:P143),V142/12)*12,0)</f>
        <v>0.15528036897328334</v>
      </c>
      <c r="W143" s="83">
        <f>(1+V143/12)^(B143)-1</f>
        <v>2.9578523914019232</v>
      </c>
    </row>
    <row r="144" spans="2:23" x14ac:dyDescent="0.25">
      <c r="B144" s="33">
        <v>108</v>
      </c>
      <c r="C144" s="105">
        <f t="shared" si="15"/>
        <v>3.9789301544717048E-3</v>
      </c>
      <c r="D144" s="106">
        <f t="shared" si="18"/>
        <v>0.65124341589207768</v>
      </c>
      <c r="E144" s="60">
        <f>rate</f>
        <v>3.5145930840192463E-3</v>
      </c>
      <c r="F144" s="31">
        <f>IF(AND(B143&gt;=gracia,12*años+gracia-B143&gt;0,$L$2&lt;&gt;1),PMT(E143,12*años-B143+gracia,-J143),0)</f>
        <v>-21.169659704331636</v>
      </c>
      <c r="G144" s="31">
        <f>IF(AND(12*años+gracia-B143&gt;0,$L$2&lt;&gt;1),J143*E144,0)</f>
        <v>-12.637135019312414</v>
      </c>
      <c r="H144" s="31">
        <f>IF(AND(12*años+gracia-B143&gt;0,$L$2&lt;&gt;1),F144-G144,0)</f>
        <v>-8.5325246850192222</v>
      </c>
      <c r="I144" s="62"/>
      <c r="J144" s="61">
        <f>J143-H144-I144</f>
        <v>-3587.0857210723925</v>
      </c>
      <c r="K144" s="61">
        <f>K143*(1+$J$17)^(1/12)</f>
        <v>7940.5511073126654</v>
      </c>
      <c r="L144" s="31">
        <f t="shared" si="19"/>
        <v>16</v>
      </c>
      <c r="M144" s="31">
        <f t="shared" si="20"/>
        <v>-2.6666666666666661</v>
      </c>
      <c r="N144" s="31">
        <f t="shared" si="21"/>
        <v>-2.35</v>
      </c>
      <c r="O144" s="62"/>
      <c r="P144" s="31">
        <f>O144+N144+M144+L144+I144+F144</f>
        <v>-10.186326370998302</v>
      </c>
      <c r="Q144" s="31">
        <f>SUM($P$36:P144)</f>
        <v>-1594.3452898418288</v>
      </c>
      <c r="R144" s="83">
        <f t="shared" si="22"/>
        <v>-0.17404354192007182</v>
      </c>
      <c r="S144" s="31">
        <f>SUMPRODUCT($P$36:P144,$D$36:D144)/D144-Q144</f>
        <v>-538.2097404143658</v>
      </c>
      <c r="T144" s="31">
        <f t="shared" si="16"/>
        <v>2759.1200963984438</v>
      </c>
      <c r="U144" s="31">
        <f t="shared" si="17"/>
        <v>3380.3600963984436</v>
      </c>
      <c r="V144" s="80" cm="1">
        <f t="array" ref="V144">IF($L$2&lt;&gt;1,IRR(IF(ROW($P$36:P144)=ROW(P144),P144+K144+J144,$P$36:P144),V143/12)*12,0)</f>
        <v>0.15466327080153164</v>
      </c>
      <c r="W144" s="83">
        <f>(1+V144/12)^(B144)-1</f>
        <v>2.9871452682646078</v>
      </c>
    </row>
    <row r="145" spans="2:23" x14ac:dyDescent="0.25">
      <c r="B145" s="33">
        <v>109</v>
      </c>
      <c r="C145" s="105">
        <f t="shared" si="15"/>
        <v>3.9789301544717048E-3</v>
      </c>
      <c r="D145" s="106">
        <f t="shared" si="18"/>
        <v>0.6486624333758455</v>
      </c>
      <c r="E145" s="60">
        <f>rate</f>
        <v>3.5145930840192463E-3</v>
      </c>
      <c r="F145" s="31">
        <f>IF(AND(B144&gt;=gracia,12*años+gracia-B144&gt;0,$L$2&lt;&gt;1),PMT(E144,12*años-B144+gracia,-J144),0)</f>
        <v>-21.169659704331639</v>
      </c>
      <c r="G145" s="31">
        <f>IF(AND(12*años+gracia-B144&gt;0,$L$2&lt;&gt;1),J144*E145,0)</f>
        <v>-12.607146667065223</v>
      </c>
      <c r="H145" s="31">
        <f>IF(AND(12*años+gracia-B144&gt;0,$L$2&lt;&gt;1),F145-G145,0)</f>
        <v>-8.5625130372664167</v>
      </c>
      <c r="I145" s="62"/>
      <c r="J145" s="61">
        <f>J144-H145-I145</f>
        <v>-3578.5232080351261</v>
      </c>
      <c r="K145" s="61">
        <f>K144*(1+$J$17)^(1/12)</f>
        <v>7979.2021413442008</v>
      </c>
      <c r="L145" s="31">
        <f t="shared" si="19"/>
        <v>16</v>
      </c>
      <c r="M145" s="31">
        <f t="shared" si="20"/>
        <v>-2.6666666666666661</v>
      </c>
      <c r="N145" s="31">
        <f t="shared" si="21"/>
        <v>-2.35</v>
      </c>
      <c r="O145" s="62"/>
      <c r="P145" s="31">
        <f>O145+N145+M145+L145+I145+F145</f>
        <v>-10.186326370998305</v>
      </c>
      <c r="Q145" s="31">
        <f>SUM($P$36:P145)</f>
        <v>-1604.5316162128272</v>
      </c>
      <c r="R145" s="83">
        <f t="shared" si="22"/>
        <v>-0.17425196063265488</v>
      </c>
      <c r="S145" s="31">
        <f>SUMPRODUCT($P$36:P145,$D$36:D145)/D145-Q145</f>
        <v>-546.69502793032257</v>
      </c>
      <c r="T145" s="31">
        <f t="shared" si="16"/>
        <v>2796.1473170962472</v>
      </c>
      <c r="U145" s="31">
        <f t="shared" si="17"/>
        <v>3417.387317096247</v>
      </c>
      <c r="V145" s="80" cm="1">
        <f t="array" ref="V145">IF($L$2&lt;&gt;1,IRR(IF(ROW($P$36:P145)=ROW(P145),P145+K145+J145,$P$36:P145),V144/12)*12,0)</f>
        <v>0.15405281287811246</v>
      </c>
      <c r="W145" s="83">
        <f>(1+V145/12)^(B145)-1</f>
        <v>3.0164851743064078</v>
      </c>
    </row>
    <row r="146" spans="2:23" x14ac:dyDescent="0.25">
      <c r="B146" s="33">
        <v>110</v>
      </c>
      <c r="C146" s="105">
        <f t="shared" si="15"/>
        <v>3.9789301544717048E-3</v>
      </c>
      <c r="D146" s="106">
        <f t="shared" si="18"/>
        <v>0.64609167970889847</v>
      </c>
      <c r="E146" s="60">
        <f>rate</f>
        <v>3.5145930840192463E-3</v>
      </c>
      <c r="F146" s="31">
        <f>IF(AND(B145&gt;=gracia,12*años+gracia-B145&gt;0,$L$2&lt;&gt;1),PMT(E145,12*años-B145+gracia,-J145),0)</f>
        <v>-21.169659704331636</v>
      </c>
      <c r="G146" s="31">
        <f>IF(AND(12*años+gracia-B145&gt;0,$L$2&lt;&gt;1),J145*E146,0)</f>
        <v>-12.577052917962622</v>
      </c>
      <c r="H146" s="31">
        <f>IF(AND(12*años+gracia-B145&gt;0,$L$2&lt;&gt;1),F146-G146,0)</f>
        <v>-8.5926067863690143</v>
      </c>
      <c r="I146" s="62"/>
      <c r="J146" s="61">
        <f>J145-H146-I146</f>
        <v>-3569.9306012487573</v>
      </c>
      <c r="K146" s="61">
        <f>K145*(1+$J$17)^(1/12)</f>
        <v>8018.0413112382876</v>
      </c>
      <c r="L146" s="31">
        <f t="shared" si="19"/>
        <v>16</v>
      </c>
      <c r="M146" s="31">
        <f t="shared" si="20"/>
        <v>-2.6666666666666661</v>
      </c>
      <c r="N146" s="31">
        <f t="shared" si="21"/>
        <v>-2.35</v>
      </c>
      <c r="O146" s="62"/>
      <c r="P146" s="31">
        <f>O146+N146+M146+L146+I146+F146</f>
        <v>-10.186326370998302</v>
      </c>
      <c r="Q146" s="31">
        <f>SUM($P$36:P146)</f>
        <v>-1614.7179425838256</v>
      </c>
      <c r="R146" s="83">
        <f t="shared" si="22"/>
        <v>-0.17445658991410004</v>
      </c>
      <c r="S146" s="31">
        <f>SUMPRODUCT($P$36:P146,$D$36:D146)/D146-Q146</f>
        <v>-555.25460849380693</v>
      </c>
      <c r="T146" s="31">
        <f t="shared" si="16"/>
        <v>2833.3927674057049</v>
      </c>
      <c r="U146" s="31">
        <f t="shared" si="17"/>
        <v>3454.6327674057047</v>
      </c>
      <c r="V146" s="80" cm="1">
        <f t="array" ref="V146">IF($L$2&lt;&gt;1,IRR(IF(ROW($P$36:P146)=ROW(P146),P146+K146+J146,$P$36:P146),V145/12)*12,0)</f>
        <v>0.15344890385409204</v>
      </c>
      <c r="W146" s="83">
        <f>(1+V146/12)^(B146)-1</f>
        <v>3.0458732576396512</v>
      </c>
    </row>
    <row r="147" spans="2:23" x14ac:dyDescent="0.25">
      <c r="B147" s="33">
        <v>111</v>
      </c>
      <c r="C147" s="105">
        <f t="shared" si="15"/>
        <v>3.9789301544717048E-3</v>
      </c>
      <c r="D147" s="106">
        <f t="shared" si="18"/>
        <v>0.64353111435265986</v>
      </c>
      <c r="E147" s="60">
        <f>rate</f>
        <v>3.5145930840192463E-3</v>
      </c>
      <c r="F147" s="31">
        <f>IF(AND(B146&gt;=gracia,12*años+gracia-B146&gt;0,$L$2&lt;&gt;1),PMT(E146,12*años-B146+gracia,-J146),0)</f>
        <v>-21.169659704331636</v>
      </c>
      <c r="G147" s="31">
        <f>IF(AND(12*años+gracia-B146&gt;0,$L$2&lt;&gt;1),J146*E147,0)</f>
        <v>-12.546853401577552</v>
      </c>
      <c r="H147" s="31">
        <f>IF(AND(12*años+gracia-B146&gt;0,$L$2&lt;&gt;1),F147-G147,0)</f>
        <v>-8.6228063027540838</v>
      </c>
      <c r="I147" s="62"/>
      <c r="J147" s="61">
        <f>J146-H147-I147</f>
        <v>-3561.307794946003</v>
      </c>
      <c r="K147" s="61">
        <f>K146*(1+$J$17)^(1/12)</f>
        <v>8057.0695327557496</v>
      </c>
      <c r="L147" s="31">
        <f t="shared" si="19"/>
        <v>16</v>
      </c>
      <c r="M147" s="31">
        <f t="shared" si="20"/>
        <v>-2.6666666666666661</v>
      </c>
      <c r="N147" s="31">
        <f t="shared" si="21"/>
        <v>-2.35</v>
      </c>
      <c r="O147" s="62"/>
      <c r="P147" s="31">
        <f>O147+N147+M147+L147+I147+F147</f>
        <v>-10.186326370998302</v>
      </c>
      <c r="Q147" s="31">
        <f>SUM($P$36:P147)</f>
        <v>-1624.9042689548239</v>
      </c>
      <c r="R147" s="83">
        <f t="shared" si="22"/>
        <v>-0.1746575321814651</v>
      </c>
      <c r="S147" s="31">
        <f>SUMPRODUCT($P$36:P147,$D$36:D147)/D147-Q147</f>
        <v>-563.88877771166585</v>
      </c>
      <c r="T147" s="31">
        <f t="shared" si="16"/>
        <v>2870.8574688549224</v>
      </c>
      <c r="U147" s="31">
        <f t="shared" si="17"/>
        <v>3492.0974688549222</v>
      </c>
      <c r="V147" s="80" cm="1">
        <f t="array" ref="V147">IF($L$2&lt;&gt;1,IRR(IF(ROW($P$36:P147)=ROW(P147),P147+K147+J147,$P$36:P147),V146/12)*12,0)</f>
        <v>0.15285145337561268</v>
      </c>
      <c r="W147" s="83">
        <f>(1+V147/12)^(B147)-1</f>
        <v>3.0753106555001155</v>
      </c>
    </row>
    <row r="148" spans="2:23" x14ac:dyDescent="0.25">
      <c r="B148" s="33">
        <v>112</v>
      </c>
      <c r="C148" s="105">
        <f t="shared" si="15"/>
        <v>3.9789301544717048E-3</v>
      </c>
      <c r="D148" s="106">
        <f t="shared" si="18"/>
        <v>0.64098069692921389</v>
      </c>
      <c r="E148" s="60">
        <f>rate</f>
        <v>3.5145930840192463E-3</v>
      </c>
      <c r="F148" s="31">
        <f>IF(AND(B147&gt;=gracia,12*años+gracia-B147&gt;0,$L$2&lt;&gt;1),PMT(E147,12*años-B147+gracia,-J147),0)</f>
        <v>-21.169659704331639</v>
      </c>
      <c r="G148" s="31">
        <f>IF(AND(12*años+gracia-B147&gt;0,$L$2&lt;&gt;1),J147*E148,0)</f>
        <v>-12.516547746181054</v>
      </c>
      <c r="H148" s="31">
        <f>IF(AND(12*años+gracia-B147&gt;0,$L$2&lt;&gt;1),F148-G148,0)</f>
        <v>-8.6531119581505855</v>
      </c>
      <c r="I148" s="62"/>
      <c r="J148" s="61">
        <f>J147-H148-I148</f>
        <v>-3552.6546829878525</v>
      </c>
      <c r="K148" s="61">
        <f>K147*(1+$J$17)^(1/12)</f>
        <v>8096.2877261149233</v>
      </c>
      <c r="L148" s="31">
        <f t="shared" si="19"/>
        <v>16</v>
      </c>
      <c r="M148" s="31">
        <f t="shared" si="20"/>
        <v>-2.6666666666666661</v>
      </c>
      <c r="N148" s="31">
        <f t="shared" si="21"/>
        <v>-2.35</v>
      </c>
      <c r="O148" s="62"/>
      <c r="P148" s="31">
        <f>O148+N148+M148+L148+I148+F148</f>
        <v>-10.186326370998305</v>
      </c>
      <c r="Q148" s="31">
        <f>SUM($P$36:P148)</f>
        <v>-1635.0905953258223</v>
      </c>
      <c r="R148" s="83">
        <f t="shared" si="22"/>
        <v>-0.17485488619405584</v>
      </c>
      <c r="S148" s="31">
        <f>SUMPRODUCT($P$36:P148,$D$36:D148)/D148-Q148</f>
        <v>-572.59783236694534</v>
      </c>
      <c r="T148" s="31">
        <f t="shared" si="16"/>
        <v>2908.5424478012483</v>
      </c>
      <c r="U148" s="31">
        <f t="shared" si="17"/>
        <v>3529.7824478012481</v>
      </c>
      <c r="V148" s="80" cm="1">
        <f t="array" ref="V148">IF($L$2&lt;&gt;1,IRR(IF(ROW($P$36:P148)=ROW(P148),P148+K148+J148,$P$36:P148),V147/12)*12,0)</f>
        <v>0.15226037211453214</v>
      </c>
      <c r="W148" s="83">
        <f>(1+V148/12)^(B148)-1</f>
        <v>3.1047984945642781</v>
      </c>
    </row>
    <row r="149" spans="2:23" x14ac:dyDescent="0.25">
      <c r="B149" s="33">
        <v>113</v>
      </c>
      <c r="C149" s="105">
        <f t="shared" si="15"/>
        <v>3.9789301544717048E-3</v>
      </c>
      <c r="D149" s="106">
        <f t="shared" si="18"/>
        <v>0.63844038722066898</v>
      </c>
      <c r="E149" s="60">
        <f>rate</f>
        <v>3.5145930840192463E-3</v>
      </c>
      <c r="F149" s="31">
        <f>IF(AND(B148&gt;=gracia,12*años+gracia-B148&gt;0,$L$2&lt;&gt;1),PMT(E148,12*años-B148+gracia,-J148),0)</f>
        <v>-21.169659704331639</v>
      </c>
      <c r="G149" s="31">
        <f>IF(AND(12*años+gracia-B148&gt;0,$L$2&lt;&gt;1),J148*E149,0)</f>
        <v>-12.486135578737695</v>
      </c>
      <c r="H149" s="31">
        <f>IF(AND(12*años+gracia-B148&gt;0,$L$2&lt;&gt;1),F149-G149,0)</f>
        <v>-8.6835241255939444</v>
      </c>
      <c r="I149" s="62"/>
      <c r="J149" s="61">
        <f>J148-H149-I149</f>
        <v>-3543.9711588622586</v>
      </c>
      <c r="K149" s="61">
        <f>K148*(1+$J$17)^(1/12)</f>
        <v>8135.6968160133538</v>
      </c>
      <c r="L149" s="31">
        <f t="shared" si="19"/>
        <v>16</v>
      </c>
      <c r="M149" s="31">
        <f t="shared" si="20"/>
        <v>-2.6666666666666661</v>
      </c>
      <c r="N149" s="31">
        <f t="shared" si="21"/>
        <v>-2.35</v>
      </c>
      <c r="O149" s="62"/>
      <c r="P149" s="31">
        <f>O149+N149+M149+L149+I149+F149</f>
        <v>-10.186326370998305</v>
      </c>
      <c r="Q149" s="31">
        <f>SUM($P$36:P149)</f>
        <v>-1645.2769216968206</v>
      </c>
      <c r="R149" s="83">
        <f t="shared" si="22"/>
        <v>-0.17504874721527322</v>
      </c>
      <c r="S149" s="31">
        <f>SUMPRODUCT($P$36:P149,$D$36:D149)/D149-Q149</f>
        <v>-581.38207042357021</v>
      </c>
      <c r="T149" s="31">
        <f t="shared" si="16"/>
        <v>2946.4487354542744</v>
      </c>
      <c r="U149" s="31">
        <f t="shared" si="17"/>
        <v>3567.6887354542741</v>
      </c>
      <c r="V149" s="80" cm="1">
        <f t="array" ref="V149">IF($L$2&lt;&gt;1,IRR(IF(ROW($P$36:P149)=ROW(P149),P149+K149+J149,$P$36:P149),V148/12)*12,0)</f>
        <v>0.15167557179445623</v>
      </c>
      <c r="W149" s="83">
        <f>(1+V149/12)^(B149)-1</f>
        <v>3.1343378912578137</v>
      </c>
    </row>
    <row r="150" spans="2:23" x14ac:dyDescent="0.25">
      <c r="B150" s="33">
        <v>114</v>
      </c>
      <c r="C150" s="105">
        <f t="shared" si="15"/>
        <v>3.9789301544717048E-3</v>
      </c>
      <c r="D150" s="106">
        <f t="shared" si="18"/>
        <v>0.63591014516852351</v>
      </c>
      <c r="E150" s="60">
        <f>rate</f>
        <v>3.5145930840192463E-3</v>
      </c>
      <c r="F150" s="31">
        <f>IF(AND(B149&gt;=gracia,12*años+gracia-B149&gt;0,$L$2&lt;&gt;1),PMT(E149,12*años-B149+gracia,-J149),0)</f>
        <v>-21.169659704331632</v>
      </c>
      <c r="G150" s="31">
        <f>IF(AND(12*años+gracia-B149&gt;0,$L$2&lt;&gt;1),J149*E150,0)</f>
        <v>-12.455616524900968</v>
      </c>
      <c r="H150" s="31">
        <f>IF(AND(12*años+gracia-B149&gt;0,$L$2&lt;&gt;1),F150-G150,0)</f>
        <v>-8.7140431794306643</v>
      </c>
      <c r="I150" s="62"/>
      <c r="J150" s="61">
        <f>J149-H150-I150</f>
        <v>-3535.257115682828</v>
      </c>
      <c r="K150" s="61">
        <f>K149*(1+$J$17)^(1/12)</f>
        <v>8175.297731649599</v>
      </c>
      <c r="L150" s="31">
        <f t="shared" si="19"/>
        <v>16</v>
      </c>
      <c r="M150" s="31">
        <f t="shared" si="20"/>
        <v>-2.6666666666666661</v>
      </c>
      <c r="N150" s="31">
        <f t="shared" si="21"/>
        <v>-2.35</v>
      </c>
      <c r="O150" s="62"/>
      <c r="P150" s="31">
        <f>O150+N150+M150+L150+I150+F150</f>
        <v>-10.186326370998298</v>
      </c>
      <c r="Q150" s="31">
        <f>SUM($P$36:P150)</f>
        <v>-1655.463248067819</v>
      </c>
      <c r="R150" s="83">
        <f t="shared" si="22"/>
        <v>-0.17523920716594299</v>
      </c>
      <c r="S150" s="31">
        <f>SUMPRODUCT($P$36:P150,$D$36:D150)/D150-Q150</f>
        <v>-590.24179103104348</v>
      </c>
      <c r="T150" s="31">
        <f t="shared" si="16"/>
        <v>2984.5773678989517</v>
      </c>
      <c r="U150" s="31">
        <f t="shared" si="17"/>
        <v>3605.8173678989515</v>
      </c>
      <c r="V150" s="80" cm="1">
        <f t="array" ref="V150">IF($L$2&lt;&gt;1,IRR(IF(ROW($P$36:P150)=ROW(P150),P150+K150+J150,$P$36:P150),V149/12)*12,0)</f>
        <v>0.15109696521261196</v>
      </c>
      <c r="W150" s="83">
        <f>(1+V150/12)^(B150)-1</f>
        <v>3.163929952056999</v>
      </c>
    </row>
    <row r="151" spans="2:23" x14ac:dyDescent="0.25">
      <c r="B151" s="33">
        <v>115</v>
      </c>
      <c r="C151" s="105">
        <f t="shared" si="15"/>
        <v>3.9789301544717048E-3</v>
      </c>
      <c r="D151" s="106">
        <f t="shared" si="18"/>
        <v>0.63338993087303408</v>
      </c>
      <c r="E151" s="60">
        <f>rate</f>
        <v>3.5145930840192463E-3</v>
      </c>
      <c r="F151" s="31">
        <f>IF(AND(B150&gt;=gracia,12*años+gracia-B150&gt;0,$L$2&lt;&gt;1),PMT(E150,12*años-B150+gracia,-J150),0)</f>
        <v>-21.169659704331639</v>
      </c>
      <c r="G151" s="31">
        <f>IF(AND(12*años+gracia-B150&gt;0,$L$2&lt;&gt;1),J150*E151,0)</f>
        <v>-12.424990209008696</v>
      </c>
      <c r="H151" s="31">
        <f>IF(AND(12*años+gracia-B150&gt;0,$L$2&lt;&gt;1),F151-G151,0)</f>
        <v>-8.7446694953229436</v>
      </c>
      <c r="I151" s="62"/>
      <c r="J151" s="61">
        <f>J150-H151-I151</f>
        <v>-3526.5124461875052</v>
      </c>
      <c r="K151" s="61">
        <f>K150*(1+$J$17)^(1/12)</f>
        <v>8215.0914067451376</v>
      </c>
      <c r="L151" s="31">
        <f t="shared" si="19"/>
        <v>16</v>
      </c>
      <c r="M151" s="31">
        <f t="shared" si="20"/>
        <v>-2.6666666666666661</v>
      </c>
      <c r="N151" s="31">
        <f t="shared" si="21"/>
        <v>-2.35</v>
      </c>
      <c r="O151" s="62"/>
      <c r="P151" s="31">
        <f>O151+N151+M151+L151+I151+F151</f>
        <v>-10.186326370998305</v>
      </c>
      <c r="Q151" s="31">
        <f>SUM($P$36:P151)</f>
        <v>-1665.6495744388174</v>
      </c>
      <c r="R151" s="83">
        <f t="shared" si="22"/>
        <v>-0.17542635476964455</v>
      </c>
      <c r="S151" s="31">
        <f>SUMPRODUCT($P$36:P151,$D$36:D151)/D151-Q151</f>
        <v>-599.17729452916296</v>
      </c>
      <c r="T151" s="31">
        <f t="shared" si="16"/>
        <v>3022.9293861188153</v>
      </c>
      <c r="U151" s="31">
        <f t="shared" si="17"/>
        <v>3644.1693861188151</v>
      </c>
      <c r="V151" s="80" cm="1">
        <f t="array" ref="V151">IF($L$2&lt;&gt;1,IRR(IF(ROW($P$36:P151)=ROW(P151),P151+K151+J151,$P$36:P151),V150/12)*12,0)</f>
        <v>0.15052446625784111</v>
      </c>
      <c r="W151" s="83">
        <f>(1+V151/12)^(B151)-1</f>
        <v>3.1935757737786803</v>
      </c>
    </row>
    <row r="152" spans="2:23" x14ac:dyDescent="0.25">
      <c r="B152" s="33">
        <v>116</v>
      </c>
      <c r="C152" s="105">
        <f t="shared" si="15"/>
        <v>3.9789301544717048E-3</v>
      </c>
      <c r="D152" s="106">
        <f t="shared" si="18"/>
        <v>0.63087970459258647</v>
      </c>
      <c r="E152" s="60">
        <f>rate</f>
        <v>3.5145930840192463E-3</v>
      </c>
      <c r="F152" s="31">
        <f>IF(AND(B151&gt;=gracia,12*años+gracia-B151&gt;0,$L$2&lt;&gt;1),PMT(E151,12*años-B151+gracia,-J151),0)</f>
        <v>-21.169659704331639</v>
      </c>
      <c r="G152" s="31">
        <f>IF(AND(12*años+gracia-B151&gt;0,$L$2&lt;&gt;1),J151*E152,0)</f>
        <v>-12.3942562540784</v>
      </c>
      <c r="H152" s="31">
        <f>IF(AND(12*años+gracia-B151&gt;0,$L$2&lt;&gt;1),F152-G152,0)</f>
        <v>-8.7754034502532399</v>
      </c>
      <c r="I152" s="62"/>
      <c r="J152" s="61">
        <f>J151-H152-I152</f>
        <v>-3517.7370427372521</v>
      </c>
      <c r="K152" s="61">
        <f>K151*(1+$J$17)^(1/12)</f>
        <v>8255.0787795663855</v>
      </c>
      <c r="L152" s="31">
        <f t="shared" si="19"/>
        <v>16</v>
      </c>
      <c r="M152" s="31">
        <f t="shared" si="20"/>
        <v>-2.6666666666666661</v>
      </c>
      <c r="N152" s="31">
        <f t="shared" si="21"/>
        <v>-2.35</v>
      </c>
      <c r="O152" s="62"/>
      <c r="P152" s="31">
        <f>O152+N152+M152+L152+I152+F152</f>
        <v>-10.186326370998305</v>
      </c>
      <c r="Q152" s="31">
        <f>SUM($P$36:P152)</f>
        <v>-1675.8359008098157</v>
      </c>
      <c r="R152" s="83">
        <f t="shared" si="22"/>
        <v>-0.17561027569052368</v>
      </c>
      <c r="S152" s="31">
        <f>SUMPRODUCT($P$36:P152,$D$36:D152)/D152-Q152</f>
        <v>-608.18888245275707</v>
      </c>
      <c r="T152" s="31">
        <f t="shared" si="16"/>
        <v>3061.5058360193179</v>
      </c>
      <c r="U152" s="31">
        <f t="shared" si="17"/>
        <v>3682.7458360193177</v>
      </c>
      <c r="V152" s="80" cm="1">
        <f t="array" ref="V152">IF($L$2&lt;&gt;1,IRR(IF(ROW($P$36:P152)=ROW(P152),P152+K152+J152,$P$36:P152),V151/12)*12,0)</f>
        <v>0.14995798992521259</v>
      </c>
      <c r="W152" s="83">
        <f>(1+V152/12)^(B152)-1</f>
        <v>3.2232764438652755</v>
      </c>
    </row>
    <row r="153" spans="2:23" x14ac:dyDescent="0.25">
      <c r="B153" s="33">
        <v>117</v>
      </c>
      <c r="C153" s="105">
        <f t="shared" si="15"/>
        <v>3.9789301544717048E-3</v>
      </c>
      <c r="D153" s="106">
        <f t="shared" si="18"/>
        <v>0.62837942674306879</v>
      </c>
      <c r="E153" s="60">
        <f>rate</f>
        <v>3.5145930840192463E-3</v>
      </c>
      <c r="F153" s="31">
        <f>IF(AND(B152&gt;=gracia,12*años+gracia-B152&gt;0,$L$2&lt;&gt;1),PMT(E152,12*años-B152+gracia,-J152),0)</f>
        <v>-21.169659704331643</v>
      </c>
      <c r="G153" s="31">
        <f>IF(AND(12*años+gracia-B152&gt;0,$L$2&lt;&gt;1),J152*E153,0)</f>
        <v>-12.363414281802662</v>
      </c>
      <c r="H153" s="31">
        <f>IF(AND(12*años+gracia-B152&gt;0,$L$2&lt;&gt;1),F153-G153,0)</f>
        <v>-8.8062454225289812</v>
      </c>
      <c r="I153" s="62"/>
      <c r="J153" s="61">
        <f>J152-H153-I153</f>
        <v>-3508.9307973147229</v>
      </c>
      <c r="K153" s="61">
        <f>K152*(1+$J$17)^(1/12)</f>
        <v>8295.2607929468159</v>
      </c>
      <c r="L153" s="31">
        <f t="shared" si="19"/>
        <v>16</v>
      </c>
      <c r="M153" s="31">
        <f t="shared" si="20"/>
        <v>-2.6666666666666661</v>
      </c>
      <c r="N153" s="31">
        <f t="shared" si="21"/>
        <v>-2.35</v>
      </c>
      <c r="O153" s="62"/>
      <c r="P153" s="31">
        <f>O153+N153+M153+L153+I153+F153</f>
        <v>-10.186326370998309</v>
      </c>
      <c r="Q153" s="31">
        <f>SUM($P$36:P153)</f>
        <v>-1686.0222271808141</v>
      </c>
      <c r="R153" s="83">
        <f t="shared" si="22"/>
        <v>-0.17579105266403736</v>
      </c>
      <c r="S153" s="31">
        <f>SUMPRODUCT($P$36:P153,$D$36:D153)/D153-Q153</f>
        <v>-617.27685753644141</v>
      </c>
      <c r="T153" s="31">
        <f t="shared" si="16"/>
        <v>3100.3077684512791</v>
      </c>
      <c r="U153" s="31">
        <f t="shared" si="17"/>
        <v>3721.5477684512789</v>
      </c>
      <c r="V153" s="80" cm="1">
        <f t="array" ref="V153">IF($L$2&lt;&gt;1,IRR(IF(ROW($P$36:P153)=ROW(P153),P153+K153+J153,$P$36:P153),V152/12)*12,0)</f>
        <v>0.14939745232745061</v>
      </c>
      <c r="W153" s="83">
        <f>(1+V153/12)^(B153)-1</f>
        <v>3.2530330406596111</v>
      </c>
    </row>
    <row r="154" spans="2:23" x14ac:dyDescent="0.25">
      <c r="B154" s="33">
        <v>118</v>
      </c>
      <c r="C154" s="105">
        <f t="shared" si="15"/>
        <v>3.9789301544717048E-3</v>
      </c>
      <c r="D154" s="106">
        <f t="shared" si="18"/>
        <v>0.62588905789724758</v>
      </c>
      <c r="E154" s="60">
        <f>rate</f>
        <v>3.5145930840192463E-3</v>
      </c>
      <c r="F154" s="31">
        <f>IF(AND(B153&gt;=gracia,12*años+gracia-B153&gt;0,$L$2&lt;&gt;1),PMT(E153,12*años-B153+gracia,-J153),0)</f>
        <v>-21.169659704331639</v>
      </c>
      <c r="G154" s="31">
        <f>IF(AND(12*años+gracia-B153&gt;0,$L$2&lt;&gt;1),J153*E154,0)</f>
        <v>-12.332463912544466</v>
      </c>
      <c r="H154" s="31">
        <f>IF(AND(12*años+gracia-B153&gt;0,$L$2&lt;&gt;1),F154-G154,0)</f>
        <v>-8.837195791787174</v>
      </c>
      <c r="I154" s="62"/>
      <c r="J154" s="61">
        <f>J153-H154-I154</f>
        <v>-3500.0936015229358</v>
      </c>
      <c r="K154" s="61">
        <f>K153*(1+$J$17)^(1/12)</f>
        <v>8335.6383943091914</v>
      </c>
      <c r="L154" s="31">
        <f t="shared" si="19"/>
        <v>16</v>
      </c>
      <c r="M154" s="31">
        <f t="shared" si="20"/>
        <v>-2.6666666666666661</v>
      </c>
      <c r="N154" s="31">
        <f t="shared" si="21"/>
        <v>-2.35</v>
      </c>
      <c r="O154" s="62"/>
      <c r="P154" s="31">
        <f>O154+N154+M154+L154+I154+F154</f>
        <v>-10.186326370998305</v>
      </c>
      <c r="Q154" s="31">
        <f>SUM($P$36:P154)</f>
        <v>-1696.2085535518124</v>
      </c>
      <c r="R154" s="83">
        <f t="shared" si="22"/>
        <v>-0.17596876562105079</v>
      </c>
      <c r="S154" s="31">
        <f>SUMPRODUCT($P$36:P154,$D$36:D154)/D154-Q154</f>
        <v>-626.44152371938958</v>
      </c>
      <c r="T154" s="31">
        <f t="shared" si="16"/>
        <v>3139.3362392344434</v>
      </c>
      <c r="U154" s="31">
        <f t="shared" si="17"/>
        <v>3760.5762392344432</v>
      </c>
      <c r="V154" s="80" cm="1">
        <f t="array" ref="V154">IF($L$2&lt;&gt;1,IRR(IF(ROW($P$36:P154)=ROW(P154),P154+K154+J154,$P$36:P154),V153/12)*12,0)</f>
        <v>0.14884277070353047</v>
      </c>
      <c r="W154" s="83">
        <f>(1+V154/12)^(B154)-1</f>
        <v>3.282846633672829</v>
      </c>
    </row>
    <row r="155" spans="2:23" x14ac:dyDescent="0.25">
      <c r="B155" s="33">
        <v>119</v>
      </c>
      <c r="C155" s="105">
        <f t="shared" si="15"/>
        <v>3.9789301544717048E-3</v>
      </c>
      <c r="D155" s="106">
        <f t="shared" si="18"/>
        <v>0.62340855878414558</v>
      </c>
      <c r="E155" s="60">
        <f>rate</f>
        <v>3.5145930840192463E-3</v>
      </c>
      <c r="F155" s="31">
        <f>IF(AND(B154&gt;=gracia,12*años+gracia-B154&gt;0,$L$2&lt;&gt;1),PMT(E154,12*años-B154+gracia,-J154),0)</f>
        <v>-21.169659704331643</v>
      </c>
      <c r="G155" s="31">
        <f>IF(AND(12*años+gracia-B154&gt;0,$L$2&lt;&gt;1),J154*E155,0)</f>
        <v>-12.301404765332526</v>
      </c>
      <c r="H155" s="31">
        <f>IF(AND(12*años+gracia-B154&gt;0,$L$2&lt;&gt;1),F155-G155,0)</f>
        <v>-8.868254938999117</v>
      </c>
      <c r="I155" s="62"/>
      <c r="J155" s="61">
        <f>J154-H155-I155</f>
        <v>-3491.2253465839367</v>
      </c>
      <c r="K155" s="61">
        <f>K154*(1+$J$17)^(1/12)</f>
        <v>8376.212535687906</v>
      </c>
      <c r="L155" s="31">
        <f t="shared" si="19"/>
        <v>16</v>
      </c>
      <c r="M155" s="31">
        <f t="shared" si="20"/>
        <v>-2.6666666666666661</v>
      </c>
      <c r="N155" s="31">
        <f t="shared" si="21"/>
        <v>-2.35</v>
      </c>
      <c r="O155" s="62"/>
      <c r="P155" s="31">
        <f>O155+N155+M155+L155+I155+F155</f>
        <v>-10.186326370998309</v>
      </c>
      <c r="Q155" s="31">
        <f>SUM($P$36:P155)</f>
        <v>-1706.3948799228108</v>
      </c>
      <c r="R155" s="83">
        <f t="shared" si="22"/>
        <v>-0.17614349180567748</v>
      </c>
      <c r="S155" s="31">
        <f>SUMPRODUCT($P$36:P155,$D$36:D155)/D155-Q155</f>
        <v>-635.68318615013027</v>
      </c>
      <c r="T155" s="31">
        <f t="shared" si="16"/>
        <v>3178.5923091811583</v>
      </c>
      <c r="U155" s="31">
        <f t="shared" si="17"/>
        <v>3799.8323091811581</v>
      </c>
      <c r="V155" s="80" cm="1">
        <f t="array" ref="V155">IF($L$2&lt;&gt;1,IRR(IF(ROW($P$36:P155)=ROW(P155),P155+K155+J155,$P$36:P155),V154/12)*12,0)</f>
        <v>0.1482938634247537</v>
      </c>
      <c r="W155" s="83">
        <f>(1+V155/12)^(B155)-1</f>
        <v>3.3127182838464453</v>
      </c>
    </row>
    <row r="156" spans="2:23" x14ac:dyDescent="0.25">
      <c r="B156" s="33">
        <v>120</v>
      </c>
      <c r="C156" s="105">
        <f t="shared" si="15"/>
        <v>3.9789301544717048E-3</v>
      </c>
      <c r="D156" s="106">
        <f t="shared" si="18"/>
        <v>0.62093789028842294</v>
      </c>
      <c r="E156" s="60">
        <f>rate</f>
        <v>3.5145930840192463E-3</v>
      </c>
      <c r="F156" s="31">
        <f>IF(AND(B155&gt;=gracia,12*años+gracia-B155&gt;0,$L$2&lt;&gt;1),PMT(E155,12*años-B155+gracia,-J155),0)</f>
        <v>-21.169659704331636</v>
      </c>
      <c r="G156" s="31">
        <f>IF(AND(12*años+gracia-B155&gt;0,$L$2&lt;&gt;1),J155*E156,0)</f>
        <v>-12.270236457856599</v>
      </c>
      <c r="H156" s="31">
        <f>IF(AND(12*años+gracia-B155&gt;0,$L$2&lt;&gt;1),F156-G156,0)</f>
        <v>-8.8994232464750365</v>
      </c>
      <c r="I156" s="62"/>
      <c r="J156" s="61">
        <f>J155-H156-I156</f>
        <v>-3482.3259233374615</v>
      </c>
      <c r="K156" s="61">
        <f>K155*(1+$J$17)^(1/12)</f>
        <v>8416.9841737514271</v>
      </c>
      <c r="L156" s="31">
        <f t="shared" si="19"/>
        <v>16</v>
      </c>
      <c r="M156" s="31">
        <f t="shared" si="20"/>
        <v>-2.6666666666666661</v>
      </c>
      <c r="N156" s="31">
        <f t="shared" si="21"/>
        <v>-2.35</v>
      </c>
      <c r="O156" s="62"/>
      <c r="P156" s="31">
        <f>O156+N156+M156+L156+I156+F156</f>
        <v>-10.186326370998302</v>
      </c>
      <c r="Q156" s="31">
        <f>SUM($P$36:P156)</f>
        <v>-1716.5812062938091</v>
      </c>
      <c r="R156" s="83">
        <f t="shared" si="22"/>
        <v>-0.17631530588722702</v>
      </c>
      <c r="S156" s="31">
        <f>SUMPRODUCT($P$36:P156,$D$36:D156)/D156-Q156</f>
        <v>-645.00215119135441</v>
      </c>
      <c r="T156" s="31">
        <f t="shared" si="16"/>
        <v>3218.0770441201566</v>
      </c>
      <c r="U156" s="31">
        <f t="shared" si="17"/>
        <v>3839.3170441201564</v>
      </c>
      <c r="V156" s="80" cm="1">
        <f t="array" ref="V156">IF($L$2&lt;&gt;1,IRR(IF(ROW($P$36:P156)=ROW(P156),P156+K156+J156,$P$36:P156),V155/12)*12,0)</f>
        <v>0.14775064999842513</v>
      </c>
      <c r="W156" s="83">
        <f>(1+V156/12)^(B156)-1</f>
        <v>3.3426490438047898</v>
      </c>
    </row>
    <row r="157" spans="2:23" x14ac:dyDescent="0.25">
      <c r="B157" s="33">
        <v>121</v>
      </c>
      <c r="C157" s="105">
        <f t="shared" si="15"/>
        <v>3.9789301544717048E-3</v>
      </c>
      <c r="D157" s="106">
        <f t="shared" si="18"/>
        <v>0.61847701344976014</v>
      </c>
      <c r="E157" s="60">
        <f>rate</f>
        <v>3.5145930840192463E-3</v>
      </c>
      <c r="F157" s="31">
        <f>IF(AND(B156&gt;=gracia,12*años+gracia-B156&gt;0,$L$2&lt;&gt;1),PMT(E156,12*años-B156+gracia,-J156),0)</f>
        <v>-21.169659704331636</v>
      </c>
      <c r="G157" s="31">
        <f>IF(AND(12*años+gracia-B156&gt;0,$L$2&lt;&gt;1),J156*E157,0)</f>
        <v>-12.238958606462779</v>
      </c>
      <c r="H157" s="31">
        <f>IF(AND(12*años+gracia-B156&gt;0,$L$2&lt;&gt;1),F157-G157,0)</f>
        <v>-8.930701097868857</v>
      </c>
      <c r="I157" s="62"/>
      <c r="J157" s="61">
        <f>J156-H157-I157</f>
        <v>-3473.3952222395928</v>
      </c>
      <c r="K157" s="61">
        <f>K156*(1+$J$17)^(1/12)</f>
        <v>8457.9542698248551</v>
      </c>
      <c r="L157" s="31">
        <f t="shared" si="19"/>
        <v>16</v>
      </c>
      <c r="M157" s="31">
        <f t="shared" si="20"/>
        <v>-2.6666666666666661</v>
      </c>
      <c r="N157" s="31">
        <f t="shared" si="21"/>
        <v>-2.35</v>
      </c>
      <c r="O157" s="62"/>
      <c r="P157" s="31">
        <f>O157+N157+M157+L157+I157+F157</f>
        <v>-10.186326370998302</v>
      </c>
      <c r="Q157" s="31">
        <f>SUM($P$36:P157)</f>
        <v>-1726.7675326648075</v>
      </c>
      <c r="R157" s="83">
        <f t="shared" si="22"/>
        <v>-0.17648428006660216</v>
      </c>
      <c r="S157" s="31">
        <f>SUMPRODUCT($P$36:P157,$D$36:D157)/D157-Q157</f>
        <v>-654.39872642475098</v>
      </c>
      <c r="T157" s="31">
        <f t="shared" si="16"/>
        <v>3257.7915149204546</v>
      </c>
      <c r="U157" s="31">
        <f t="shared" si="17"/>
        <v>3879.0315149204544</v>
      </c>
      <c r="V157" s="80" cm="1">
        <f t="array" ref="V157">IF($L$2&lt;&gt;1,IRR(IF(ROW($P$36:P157)=ROW(P157),P157+K157+J157,$P$36:P157),V156/12)*12,0)</f>
        <v>0.1472130510694809</v>
      </c>
      <c r="W157" s="83">
        <f>(1+V157/12)^(B157)-1</f>
        <v>3.3726399581021278</v>
      </c>
    </row>
    <row r="158" spans="2:23" x14ac:dyDescent="0.25">
      <c r="B158" s="33">
        <v>122</v>
      </c>
      <c r="C158" s="105">
        <f t="shared" si="15"/>
        <v>3.9789301544717048E-3</v>
      </c>
      <c r="D158" s="106">
        <f t="shared" si="18"/>
        <v>0.61602588946224357</v>
      </c>
      <c r="E158" s="60">
        <f>rate</f>
        <v>3.5145930840192463E-3</v>
      </c>
      <c r="F158" s="31">
        <f>IF(AND(B157&gt;=gracia,12*años+gracia-B157&gt;0,$L$2&lt;&gt;1),PMT(E157,12*años-B157+gracia,-J157),0)</f>
        <v>-21.169659704331639</v>
      </c>
      <c r="G158" s="31">
        <f>IF(AND(12*años+gracia-B157&gt;0,$L$2&lt;&gt;1),J157*E158,0)</f>
        <v>-12.207570826148766</v>
      </c>
      <c r="H158" s="31">
        <f>IF(AND(12*años+gracia-B157&gt;0,$L$2&lt;&gt;1),F158-G158,0)</f>
        <v>-8.9620888781828736</v>
      </c>
      <c r="I158" s="62"/>
      <c r="J158" s="61">
        <f>J157-H158-I158</f>
        <v>-3464.43313336141</v>
      </c>
      <c r="K158" s="61">
        <f>K157*(1+$J$17)^(1/12)</f>
        <v>8499.1237899125863</v>
      </c>
      <c r="L158" s="31">
        <f t="shared" si="19"/>
        <v>16</v>
      </c>
      <c r="M158" s="31">
        <f t="shared" si="20"/>
        <v>-2.6666666666666661</v>
      </c>
      <c r="N158" s="31">
        <f t="shared" si="21"/>
        <v>-2.35</v>
      </c>
      <c r="O158" s="62"/>
      <c r="P158" s="31">
        <f>O158+N158+M158+L158+I158+F158</f>
        <v>-10.186326370998305</v>
      </c>
      <c r="Q158" s="31">
        <f>SUM($P$36:P158)</f>
        <v>-1736.9538590358059</v>
      </c>
      <c r="R158" s="83">
        <f t="shared" si="22"/>
        <v>-0.17665048417746304</v>
      </c>
      <c r="S158" s="31">
        <f>SUMPRODUCT($P$36:P158,$D$36:D158)/D158-Q158</f>
        <v>-663.87322065585272</v>
      </c>
      <c r="T158" s="31">
        <f t="shared" si="16"/>
        <v>3297.7367975153702</v>
      </c>
      <c r="U158" s="31">
        <f t="shared" si="17"/>
        <v>3918.97679751537</v>
      </c>
      <c r="V158" s="80" cm="1">
        <f t="array" ref="V158">IF($L$2&lt;&gt;1,IRR(IF(ROW($P$36:P158)=ROW(P158),P158+K158+J158,$P$36:P158),V157/12)*12,0)</f>
        <v>0.14668098842023003</v>
      </c>
      <c r="W158" s="83">
        <f>(1+V158/12)^(B158)-1</f>
        <v>3.4026920634641034</v>
      </c>
    </row>
    <row r="159" spans="2:23" x14ac:dyDescent="0.25">
      <c r="B159" s="33">
        <v>123</v>
      </c>
      <c r="C159" s="105">
        <f t="shared" si="15"/>
        <v>3.9789301544717048E-3</v>
      </c>
      <c r="D159" s="106">
        <f t="shared" si="18"/>
        <v>0.61358447967375385</v>
      </c>
      <c r="E159" s="60">
        <f>rate</f>
        <v>3.5145930840192463E-3</v>
      </c>
      <c r="F159" s="31">
        <f>IF(AND(B158&gt;=gracia,12*años+gracia-B158&gt;0,$L$2&lt;&gt;1),PMT(E158,12*años-B158+gracia,-J158),0)</f>
        <v>-21.169659704331643</v>
      </c>
      <c r="G159" s="31">
        <f>IF(AND(12*años+gracia-B158&gt;0,$L$2&lt;&gt;1),J158*E159,0)</f>
        <v>-12.176072730559138</v>
      </c>
      <c r="H159" s="31">
        <f>IF(AND(12*años+gracia-B158&gt;0,$L$2&lt;&gt;1),F159-G159,0)</f>
        <v>-8.9935869737725049</v>
      </c>
      <c r="I159" s="62"/>
      <c r="J159" s="61">
        <f>J158-H159-I159</f>
        <v>-3455.4395463876376</v>
      </c>
      <c r="K159" s="61">
        <f>K158*(1+$J$17)^(1/12)</f>
        <v>8540.4937047210951</v>
      </c>
      <c r="L159" s="31">
        <f t="shared" si="19"/>
        <v>16</v>
      </c>
      <c r="M159" s="31">
        <f t="shared" si="20"/>
        <v>-2.6666666666666661</v>
      </c>
      <c r="N159" s="31">
        <f t="shared" si="21"/>
        <v>-2.35</v>
      </c>
      <c r="O159" s="62"/>
      <c r="P159" s="31">
        <f>O159+N159+M159+L159+I159+F159</f>
        <v>-10.186326370998309</v>
      </c>
      <c r="Q159" s="31">
        <f>SUM($P$36:P159)</f>
        <v>-1747.1401854068042</v>
      </c>
      <c r="R159" s="83">
        <f t="shared" si="22"/>
        <v>-0.17681398578245625</v>
      </c>
      <c r="S159" s="31">
        <f>SUMPRODUCT($P$36:P159,$D$36:D159)/D159-Q159</f>
        <v>-673.42594391890975</v>
      </c>
      <c r="T159" s="31">
        <f t="shared" si="16"/>
        <v>3337.9139729266535</v>
      </c>
      <c r="U159" s="31">
        <f t="shared" si="17"/>
        <v>3959.1539729266533</v>
      </c>
      <c r="V159" s="80" cm="1">
        <f t="array" ref="V159">IF($L$2&lt;&gt;1,IRR(IF(ROW($P$36:P159)=ROW(P159),P159+K159+J159,$P$36:P159),V158/12)*12,0)</f>
        <v>0.14615438496834265</v>
      </c>
      <c r="W159" s="83">
        <f>(1+V159/12)^(B159)-1</f>
        <v>3.4328063890201124</v>
      </c>
    </row>
    <row r="160" spans="2:23" x14ac:dyDescent="0.25">
      <c r="B160" s="33">
        <v>124</v>
      </c>
      <c r="C160" s="105">
        <f t="shared" si="15"/>
        <v>3.9789301544717048E-3</v>
      </c>
      <c r="D160" s="106">
        <f t="shared" si="18"/>
        <v>0.61115274558535615</v>
      </c>
      <c r="E160" s="60">
        <f>rate</f>
        <v>3.5145930840192463E-3</v>
      </c>
      <c r="F160" s="31">
        <f>IF(AND(B159&gt;=gracia,12*años+gracia-B159&gt;0,$L$2&lt;&gt;1),PMT(E159,12*años-B159+gracia,-J159),0)</f>
        <v>-21.169659704331643</v>
      </c>
      <c r="G160" s="31">
        <f>IF(AND(12*años+gracia-B159&gt;0,$L$2&lt;&gt;1),J159*E160,0)</f>
        <v>-12.144463931980592</v>
      </c>
      <c r="H160" s="31">
        <f>IF(AND(12*años+gracia-B159&gt;0,$L$2&lt;&gt;1),F160-G160,0)</f>
        <v>-9.0251957723510507</v>
      </c>
      <c r="I160" s="62"/>
      <c r="J160" s="61">
        <f>J159-H160-I160</f>
        <v>-3446.4143506152864</v>
      </c>
      <c r="K160" s="61">
        <f>K159*(1+$J$17)^(1/12)</f>
        <v>8582.0649896818195</v>
      </c>
      <c r="L160" s="31">
        <f t="shared" si="19"/>
        <v>16</v>
      </c>
      <c r="M160" s="31">
        <f t="shared" si="20"/>
        <v>-2.6666666666666661</v>
      </c>
      <c r="N160" s="31">
        <f t="shared" si="21"/>
        <v>-2.35</v>
      </c>
      <c r="O160" s="62"/>
      <c r="P160" s="31">
        <f>O160+N160+M160+L160+I160+F160</f>
        <v>-10.186326370998309</v>
      </c>
      <c r="Q160" s="31">
        <f>SUM($P$36:P160)</f>
        <v>-1757.3265117778026</v>
      </c>
      <c r="R160" s="83">
        <f t="shared" si="22"/>
        <v>-0.17697485026478821</v>
      </c>
      <c r="S160" s="31">
        <f>SUMPRODUCT($P$36:P160,$D$36:D160)/D160-Q160</f>
        <v>-683.05720748177669</v>
      </c>
      <c r="T160" s="31">
        <f t="shared" si="16"/>
        <v>3378.3241272887308</v>
      </c>
      <c r="U160" s="31">
        <f t="shared" si="17"/>
        <v>3999.5641272887306</v>
      </c>
      <c r="V160" s="80" cm="1">
        <f t="array" ref="V160">IF($L$2&lt;&gt;1,IRR(IF(ROW($P$36:P160)=ROW(P160),P160+K160+J160,$P$36:P160),V159/12)*12,0)</f>
        <v>0.14563316476336219</v>
      </c>
      <c r="W160" s="83">
        <f>(1+V160/12)^(B160)-1</f>
        <v>3.4629839565325167</v>
      </c>
    </row>
    <row r="161" spans="2:23" x14ac:dyDescent="0.25">
      <c r="B161" s="33">
        <v>125</v>
      </c>
      <c r="C161" s="105">
        <f t="shared" si="15"/>
        <v>3.9789301544717048E-3</v>
      </c>
      <c r="D161" s="106">
        <f t="shared" si="18"/>
        <v>0.60873064885069295</v>
      </c>
      <c r="E161" s="60">
        <f>rate</f>
        <v>3.5145930840192463E-3</v>
      </c>
      <c r="F161" s="31">
        <f>IF(AND(B160&gt;=gracia,12*años+gracia-B160&gt;0,$L$2&lt;&gt;1),PMT(E160,12*años-B160+gracia,-J160),0)</f>
        <v>-21.169659704331639</v>
      </c>
      <c r="G161" s="31">
        <f>IF(AND(12*años+gracia-B160&gt;0,$L$2&lt;&gt;1),J160*E161,0)</f>
        <v>-12.112744041337168</v>
      </c>
      <c r="H161" s="31">
        <f>IF(AND(12*años+gracia-B160&gt;0,$L$2&lt;&gt;1),F161-G161,0)</f>
        <v>-9.0569156629944718</v>
      </c>
      <c r="I161" s="62"/>
      <c r="J161" s="61">
        <f>J160-H161-I161</f>
        <v>-3437.3574349522919</v>
      </c>
      <c r="K161" s="61">
        <f>K160*(1+$J$17)^(1/12)</f>
        <v>8623.8386249741561</v>
      </c>
      <c r="L161" s="31">
        <f t="shared" si="19"/>
        <v>16</v>
      </c>
      <c r="M161" s="31">
        <f t="shared" si="20"/>
        <v>-2.6666666666666661</v>
      </c>
      <c r="N161" s="31">
        <f t="shared" si="21"/>
        <v>-2.35</v>
      </c>
      <c r="O161" s="62"/>
      <c r="P161" s="31">
        <f>O161+N161+M161+L161+I161+F161</f>
        <v>-10.186326370998305</v>
      </c>
      <c r="Q161" s="31">
        <f>SUM($P$36:P161)</f>
        <v>-1767.5128381488009</v>
      </c>
      <c r="R161" s="83">
        <f t="shared" si="22"/>
        <v>-0.17713314091540291</v>
      </c>
      <c r="S161" s="31">
        <f>SUMPRODUCT($P$36:P161,$D$36:D161)/D161-Q161</f>
        <v>-692.76732385082073</v>
      </c>
      <c r="T161" s="31">
        <f t="shared" si="16"/>
        <v>3418.9683518730635</v>
      </c>
      <c r="U161" s="31">
        <f t="shared" si="17"/>
        <v>4040.2083518730633</v>
      </c>
      <c r="V161" s="80" cm="1">
        <f t="array" ref="V161">IF($L$2&lt;&gt;1,IRR(IF(ROW($P$36:P161)=ROW(P161),P161+K161+J161,$P$36:P161),V160/12)*12,0)</f>
        <v>0.14511725298178657</v>
      </c>
      <c r="W161" s="83">
        <f>(1+V161/12)^(B161)-1</f>
        <v>3.4932257806174887</v>
      </c>
    </row>
    <row r="162" spans="2:23" x14ac:dyDescent="0.25">
      <c r="B162" s="33">
        <v>126</v>
      </c>
      <c r="C162" s="105">
        <f t="shared" si="15"/>
        <v>3.9789301544717048E-3</v>
      </c>
      <c r="D162" s="106">
        <f t="shared" si="18"/>
        <v>0.6063181512753798</v>
      </c>
      <c r="E162" s="60">
        <f>rate</f>
        <v>3.5145930840192463E-3</v>
      </c>
      <c r="F162" s="31">
        <f>IF(AND(B161&gt;=gracia,12*años+gracia-B161&gt;0,$L$2&lt;&gt;1),PMT(E161,12*años-B161+gracia,-J161),0)</f>
        <v>-21.169659704331639</v>
      </c>
      <c r="G162" s="31">
        <f>IF(AND(12*años+gracia-B161&gt;0,$L$2&lt;&gt;1),J161*E162,0)</f>
        <v>-12.080912668185462</v>
      </c>
      <c r="H162" s="31">
        <f>IF(AND(12*años+gracia-B161&gt;0,$L$2&lt;&gt;1),F162-G162,0)</f>
        <v>-9.0887470361461773</v>
      </c>
      <c r="I162" s="62"/>
      <c r="J162" s="61">
        <f>J161-H162-I162</f>
        <v>-3428.2686879161456</v>
      </c>
      <c r="K162" s="61">
        <f>K161*(1+$J$17)^(1/12)</f>
        <v>8665.8155955485763</v>
      </c>
      <c r="L162" s="31">
        <f t="shared" si="19"/>
        <v>16</v>
      </c>
      <c r="M162" s="31">
        <f t="shared" si="20"/>
        <v>-2.6666666666666661</v>
      </c>
      <c r="N162" s="31">
        <f t="shared" si="21"/>
        <v>-2.35</v>
      </c>
      <c r="O162" s="62"/>
      <c r="P162" s="31">
        <f>O162+N162+M162+L162+I162+F162</f>
        <v>-10.186326370998305</v>
      </c>
      <c r="Q162" s="31">
        <f>SUM($P$36:P162)</f>
        <v>-1777.6991645197993</v>
      </c>
      <c r="R162" s="83">
        <f t="shared" si="22"/>
        <v>-0.17728891901600782</v>
      </c>
      <c r="S162" s="31">
        <f>SUMPRODUCT($P$36:P162,$D$36:D162)/D162-Q162</f>
        <v>-702.55660677584933</v>
      </c>
      <c r="T162" s="31">
        <f t="shared" si="16"/>
        <v>3459.8477431126312</v>
      </c>
      <c r="U162" s="31">
        <f t="shared" si="17"/>
        <v>4081.087743112631</v>
      </c>
      <c r="V162" s="80" cm="1">
        <f t="array" ref="V162">IF($L$2&lt;&gt;1,IRR(IF(ROW($P$36:P162)=ROW(P162),P162+K162+J162,$P$36:P162),V161/12)*12,0)</f>
        <v>0.14460657592096648</v>
      </c>
      <c r="W162" s="83">
        <f>(1+V162/12)^(B162)-1</f>
        <v>3.5235328689621346</v>
      </c>
    </row>
    <row r="163" spans="2:23" x14ac:dyDescent="0.25">
      <c r="B163" s="33">
        <v>127</v>
      </c>
      <c r="C163" s="105">
        <f t="shared" si="15"/>
        <v>3.9789301544717048E-3</v>
      </c>
      <c r="D163" s="106">
        <f t="shared" si="18"/>
        <v>0.60391521481640253</v>
      </c>
      <c r="E163" s="60">
        <f>rate</f>
        <v>3.5145930840192463E-3</v>
      </c>
      <c r="F163" s="31">
        <f>IF(AND(B162&gt;=gracia,12*años+gracia-B162&gt;0,$L$2&lt;&gt;1),PMT(E162,12*años-B162+gracia,-J162),0)</f>
        <v>-21.169659704331639</v>
      </c>
      <c r="G163" s="31">
        <f>IF(AND(12*años+gracia-B162&gt;0,$L$2&lt;&gt;1),J162*E163,0)</f>
        <v>-12.04896942070982</v>
      </c>
      <c r="H163" s="31">
        <f>IF(AND(12*años+gracia-B162&gt;0,$L$2&lt;&gt;1),F163-G163,0)</f>
        <v>-9.1206902836218191</v>
      </c>
      <c r="I163" s="62"/>
      <c r="J163" s="61">
        <f>J162-H163-I163</f>
        <v>-3419.1479976325236</v>
      </c>
      <c r="K163" s="61">
        <f>K162*(1+$J$17)^(1/12)</f>
        <v>8707.9968911498472</v>
      </c>
      <c r="L163" s="31">
        <f t="shared" si="19"/>
        <v>16</v>
      </c>
      <c r="M163" s="31">
        <f t="shared" si="20"/>
        <v>-2.6666666666666661</v>
      </c>
      <c r="N163" s="31">
        <f t="shared" si="21"/>
        <v>-2.35</v>
      </c>
      <c r="O163" s="62"/>
      <c r="P163" s="31">
        <f>O163+N163+M163+L163+I163+F163</f>
        <v>-10.186326370998305</v>
      </c>
      <c r="Q163" s="31">
        <f>SUM($P$36:P163)</f>
        <v>-1787.8854908907977</v>
      </c>
      <c r="R163" s="83">
        <f t="shared" si="22"/>
        <v>-0.17744224391817803</v>
      </c>
      <c r="S163" s="31">
        <f>SUMPRODUCT($P$36:P163,$D$36:D163)/D163-Q163</f>
        <v>-712.4253712550601</v>
      </c>
      <c r="T163" s="31">
        <f t="shared" si="16"/>
        <v>3500.9634026265257</v>
      </c>
      <c r="U163" s="31">
        <f t="shared" si="17"/>
        <v>4122.2034026265255</v>
      </c>
      <c r="V163" s="80" cm="1">
        <f t="array" ref="V163">IF($L$2&lt;&gt;1,IRR(IF(ROW($P$36:P163)=ROW(P163),P163+K163+J163,$P$36:P163),V162/12)*12,0)</f>
        <v>0.1441010609918445</v>
      </c>
      <c r="W163" s="83">
        <f>(1+V163/12)^(B163)-1</f>
        <v>3.5539062225339162</v>
      </c>
    </row>
    <row r="164" spans="2:23" x14ac:dyDescent="0.25">
      <c r="B164" s="33">
        <v>128</v>
      </c>
      <c r="C164" s="105">
        <f t="shared" si="15"/>
        <v>3.9789301544717048E-3</v>
      </c>
      <c r="D164" s="106">
        <f t="shared" si="18"/>
        <v>0.60152180158151769</v>
      </c>
      <c r="E164" s="60">
        <f>rate</f>
        <v>3.5145930840192463E-3</v>
      </c>
      <c r="F164" s="31">
        <f>IF(AND(B163&gt;=gracia,12*años+gracia-B163&gt;0,$L$2&lt;&gt;1),PMT(E163,12*años-B163+gracia,-J163),0)</f>
        <v>-21.169659704331636</v>
      </c>
      <c r="G164" s="31">
        <f>IF(AND(12*años+gracia-B163&gt;0,$L$2&lt;&gt;1),J163*E164,0)</f>
        <v>-12.016913905717521</v>
      </c>
      <c r="H164" s="31">
        <f>IF(AND(12*años+gracia-B163&gt;0,$L$2&lt;&gt;1),F164-G164,0)</f>
        <v>-9.1527457986141147</v>
      </c>
      <c r="I164" s="62"/>
      <c r="J164" s="61">
        <f>J163-H164-I164</f>
        <v>-3409.9952518339096</v>
      </c>
      <c r="K164" s="61">
        <f>K163*(1+$J$17)^(1/12)</f>
        <v>8750.3835063403694</v>
      </c>
      <c r="L164" s="31">
        <f t="shared" si="19"/>
        <v>16</v>
      </c>
      <c r="M164" s="31">
        <f t="shared" si="20"/>
        <v>-2.6666666666666661</v>
      </c>
      <c r="N164" s="31">
        <f t="shared" si="21"/>
        <v>-2.35</v>
      </c>
      <c r="O164" s="62"/>
      <c r="P164" s="31">
        <f>O164+N164+M164+L164+I164+F164</f>
        <v>-10.186326370998302</v>
      </c>
      <c r="Q164" s="31">
        <f>SUM($P$36:P164)</f>
        <v>-1798.071817261796</v>
      </c>
      <c r="R164" s="83">
        <f t="shared" si="22"/>
        <v>-0.17759317311875181</v>
      </c>
      <c r="S164" s="31">
        <f>SUMPRODUCT($P$36:P164,$D$36:D164)/D164-Q164</f>
        <v>-722.37393354000528</v>
      </c>
      <c r="T164" s="31">
        <f t="shared" si="16"/>
        <v>3542.3164372446636</v>
      </c>
      <c r="U164" s="31">
        <f t="shared" si="17"/>
        <v>4163.5564372446634</v>
      </c>
      <c r="V164" s="80" cm="1">
        <f t="array" ref="V164">IF($L$2&lt;&gt;1,IRR(IF(ROW($P$36:P164)=ROW(P164),P164+K164+J164,$P$36:P164),V163/12)*12,0)</f>
        <v>0.14360063671076695</v>
      </c>
      <c r="W164" s="83">
        <f>(1+V164/12)^(B164)-1</f>
        <v>3.5843468357868442</v>
      </c>
    </row>
    <row r="165" spans="2:23" x14ac:dyDescent="0.25">
      <c r="B165" s="33">
        <v>129</v>
      </c>
      <c r="C165" s="105">
        <f t="shared" ref="C165:C228" si="23">(1+$E$3/360)^30-1-((1+$E$4)^(1/12)-1)</f>
        <v>3.9789301544717048E-3</v>
      </c>
      <c r="D165" s="106">
        <f t="shared" si="18"/>
        <v>0.5991378738286548</v>
      </c>
      <c r="E165" s="60">
        <f>rate</f>
        <v>3.5145930840192463E-3</v>
      </c>
      <c r="F165" s="31">
        <f>IF(AND(B164&gt;=gracia,12*años+gracia-B164&gt;0,$L$2&lt;&gt;1),PMT(E164,12*años-B164+gracia,-J164),0)</f>
        <v>-21.169659704331636</v>
      </c>
      <c r="G165" s="31">
        <f>IF(AND(12*años+gracia-B164&gt;0,$L$2&lt;&gt;1),J164*E165,0)</f>
        <v>-11.984745728633927</v>
      </c>
      <c r="H165" s="31">
        <f>IF(AND(12*años+gracia-B164&gt;0,$L$2&lt;&gt;1),F165-G165,0)</f>
        <v>-9.1849139756977092</v>
      </c>
      <c r="I165" s="62"/>
      <c r="J165" s="61">
        <f>J164-H165-I165</f>
        <v>-3400.8103378582118</v>
      </c>
      <c r="K165" s="61">
        <f>K164*(1+$J$17)^(1/12)</f>
        <v>8792.9764405236256</v>
      </c>
      <c r="L165" s="31">
        <f t="shared" si="19"/>
        <v>16</v>
      </c>
      <c r="M165" s="31">
        <f t="shared" si="20"/>
        <v>-2.6666666666666661</v>
      </c>
      <c r="N165" s="31">
        <f t="shared" si="21"/>
        <v>-2.35</v>
      </c>
      <c r="O165" s="62"/>
      <c r="P165" s="31">
        <f>O165+N165+M165+L165+I165+F165</f>
        <v>-10.186326370998302</v>
      </c>
      <c r="Q165" s="31">
        <f>SUM($P$36:P165)</f>
        <v>-1808.2581436327944</v>
      </c>
      <c r="R165" s="83">
        <f t="shared" si="22"/>
        <v>-0.17774176233171979</v>
      </c>
      <c r="S165" s="31">
        <f>SUMPRODUCT($P$36:P165,$D$36:D165)/D165-Q165</f>
        <v>-732.4026111405808</v>
      </c>
      <c r="T165" s="31">
        <f t="shared" ref="T165:T228" si="24">Q165+J165+K165</f>
        <v>3583.9079590326191</v>
      </c>
      <c r="U165" s="31">
        <f t="shared" ref="U165:U228" si="25">IF($L$2&lt;&gt;1,T165+$E$30,T165)</f>
        <v>4205.1479590326189</v>
      </c>
      <c r="V165" s="80" cm="1">
        <f t="array" ref="V165">IF($L$2&lt;&gt;1,IRR(IF(ROW($P$36:P165)=ROW(P165),P165+K165+J165,$P$36:P165),V164/12)*12,0)</f>
        <v>0.14310523269038189</v>
      </c>
      <c r="W165" s="83">
        <f>(1+V165/12)^(B165)-1</f>
        <v>3.6148556968609835</v>
      </c>
    </row>
    <row r="166" spans="2:23" x14ac:dyDescent="0.25">
      <c r="B166" s="33">
        <v>130</v>
      </c>
      <c r="C166" s="105">
        <f t="shared" si="23"/>
        <v>3.9789301544717048E-3</v>
      </c>
      <c r="D166" s="106">
        <f t="shared" ref="D166:D229" si="26">D165/(1+C166)</f>
        <v>0.5967633939653213</v>
      </c>
      <c r="E166" s="60">
        <f>rate</f>
        <v>3.5145930840192463E-3</v>
      </c>
      <c r="F166" s="31">
        <f>IF(AND(B165&gt;=gracia,12*años+gracia-B165&gt;0,$L$2&lt;&gt;1),PMT(E165,12*años-B165+gracia,-J165),0)</f>
        <v>-21.169659704331639</v>
      </c>
      <c r="G166" s="31">
        <f>IF(AND(12*años+gracia-B165&gt;0,$L$2&lt;&gt;1),J165*E166,0)</f>
        <v>-11.952464493497628</v>
      </c>
      <c r="H166" s="31">
        <f>IF(AND(12*años+gracia-B165&gt;0,$L$2&lt;&gt;1),F166-G166,0)</f>
        <v>-9.2171952108340118</v>
      </c>
      <c r="I166" s="62"/>
      <c r="J166" s="61">
        <f>J165-H166-I166</f>
        <v>-3391.5931426473776</v>
      </c>
      <c r="K166" s="61">
        <f>K165*(1+$J$17)^(1/12)</f>
        <v>8835.7766979677453</v>
      </c>
      <c r="L166" s="31">
        <f t="shared" ref="L166:L229" si="27">IF($L$2=3,$J$7*$J$16,0)</f>
        <v>16</v>
      </c>
      <c r="M166" s="31">
        <f t="shared" ref="M166:M229" si="28">-$J$28</f>
        <v>-2.6666666666666661</v>
      </c>
      <c r="N166" s="31">
        <f t="shared" ref="N166:N229" si="29">IF($L$2&lt;&gt;1,-$E$17-$E$18,0)</f>
        <v>-2.35</v>
      </c>
      <c r="O166" s="62"/>
      <c r="P166" s="31">
        <f>O166+N166+M166+L166+I166+F166</f>
        <v>-10.186326370998305</v>
      </c>
      <c r="Q166" s="31">
        <f>SUM($P$36:P166)</f>
        <v>-1818.4444700037927</v>
      </c>
      <c r="R166" s="83">
        <f t="shared" ref="R166:R229" si="30">IF($L$2&lt;&gt;1,-(Q166-$Q$36)/B166*12/$P$36,0)</f>
        <v>-0.17788806555679598</v>
      </c>
      <c r="S166" s="31">
        <f>SUMPRODUCT($P$36:P166,$D$36:D166)/D166-Q166</f>
        <v>-742.5117228300312</v>
      </c>
      <c r="T166" s="31">
        <f t="shared" si="24"/>
        <v>3625.7390853165753</v>
      </c>
      <c r="U166" s="31">
        <f t="shared" si="25"/>
        <v>4246.979085316575</v>
      </c>
      <c r="V166" s="80" cm="1">
        <f t="array" ref="V166">IF($L$2&lt;&gt;1,IRR(IF(ROW($P$36:P166)=ROW(P166),P166+K166+J166,$P$36:P166),V165/12)*12,0)</f>
        <v>0.14261477962977764</v>
      </c>
      <c r="W166" s="83">
        <f>(1+V166/12)^(B166)-1</f>
        <v>3.6454337877775824</v>
      </c>
    </row>
    <row r="167" spans="2:23" x14ac:dyDescent="0.25">
      <c r="B167" s="33">
        <v>131</v>
      </c>
      <c r="C167" s="105">
        <f t="shared" si="23"/>
        <v>3.9789301544717048E-3</v>
      </c>
      <c r="D167" s="106">
        <f t="shared" si="26"/>
        <v>0.59439832454800978</v>
      </c>
      <c r="E167" s="60">
        <f>rate</f>
        <v>3.5145930840192463E-3</v>
      </c>
      <c r="F167" s="31">
        <f>IF(AND(B166&gt;=gracia,12*años+gracia-B166&gt;0,$L$2&lt;&gt;1),PMT(E166,12*años-B166+gracia,-J166),0)</f>
        <v>-21.169659704331636</v>
      </c>
      <c r="G167" s="31">
        <f>IF(AND(12*años+gracia-B166&gt;0,$L$2&lt;&gt;1),J166*E167,0)</f>
        <v>-11.920069802955574</v>
      </c>
      <c r="H167" s="31">
        <f>IF(AND(12*años+gracia-B166&gt;0,$L$2&lt;&gt;1),F167-G167,0)</f>
        <v>-9.2495899013760621</v>
      </c>
      <c r="I167" s="62"/>
      <c r="J167" s="61">
        <f>J166-H167-I167</f>
        <v>-3382.3435527460015</v>
      </c>
      <c r="K167" s="61">
        <f>K166*(1+$J$17)^(1/12)</f>
        <v>8878.7852878291833</v>
      </c>
      <c r="L167" s="31">
        <f t="shared" si="27"/>
        <v>16</v>
      </c>
      <c r="M167" s="31">
        <f t="shared" si="28"/>
        <v>-2.6666666666666661</v>
      </c>
      <c r="N167" s="31">
        <f t="shared" si="29"/>
        <v>-2.35</v>
      </c>
      <c r="O167" s="62"/>
      <c r="P167" s="31">
        <f>O167+N167+M167+L167+I167+F167</f>
        <v>-10.186326370998302</v>
      </c>
      <c r="Q167" s="31">
        <f>SUM($P$36:P167)</f>
        <v>-1828.6307963747911</v>
      </c>
      <c r="R167" s="83">
        <f t="shared" si="30"/>
        <v>-0.17803213514484811</v>
      </c>
      <c r="S167" s="31">
        <f>SUMPRODUCT($P$36:P167,$D$36:D167)/D167-Q167</f>
        <v>-752.7015886499787</v>
      </c>
      <c r="T167" s="31">
        <f t="shared" si="24"/>
        <v>3667.8109387083905</v>
      </c>
      <c r="U167" s="31">
        <f t="shared" si="25"/>
        <v>4289.0509387083903</v>
      </c>
      <c r="V167" s="80" cm="1">
        <f t="array" ref="V167">IF($L$2&lt;&gt;1,IRR(IF(ROW($P$36:P167)=ROW(P167),P167+K167+J167,$P$36:P167),V166/12)*12,0)</f>
        <v>0.14212920930393125</v>
      </c>
      <c r="W167" s="83">
        <f>(1+V167/12)^(B167)-1</f>
        <v>3.6760820846287485</v>
      </c>
    </row>
    <row r="168" spans="2:23" x14ac:dyDescent="0.25">
      <c r="B168" s="33">
        <v>132</v>
      </c>
      <c r="C168" s="105">
        <f t="shared" si="23"/>
        <v>3.9789301544717048E-3</v>
      </c>
      <c r="D168" s="106">
        <f t="shared" si="26"/>
        <v>0.59204262828160736</v>
      </c>
      <c r="E168" s="60">
        <f>rate</f>
        <v>3.5145930840192463E-3</v>
      </c>
      <c r="F168" s="31">
        <f>IF(AND(B167&gt;=gracia,12*años+gracia-B167&gt;0,$L$2&lt;&gt;1),PMT(E167,12*años-B167+gracia,-J167),0)</f>
        <v>-21.169659704331639</v>
      </c>
      <c r="G168" s="31">
        <f>IF(AND(12*años+gracia-B167&gt;0,$L$2&lt;&gt;1),J167*E168,0)</f>
        <v>-11.887561258258184</v>
      </c>
      <c r="H168" s="31">
        <f>IF(AND(12*años+gracia-B167&gt;0,$L$2&lt;&gt;1),F168-G168,0)</f>
        <v>-9.282098446073455</v>
      </c>
      <c r="I168" s="62"/>
      <c r="J168" s="61">
        <f>J167-H168-I168</f>
        <v>-3373.0614542999278</v>
      </c>
      <c r="K168" s="61">
        <f>K167*(1+$J$17)^(1/12)</f>
        <v>8922.0032241765166</v>
      </c>
      <c r="L168" s="31">
        <f t="shared" si="27"/>
        <v>16</v>
      </c>
      <c r="M168" s="31">
        <f t="shared" si="28"/>
        <v>-2.6666666666666661</v>
      </c>
      <c r="N168" s="31">
        <f t="shared" si="29"/>
        <v>-2.35</v>
      </c>
      <c r="O168" s="62"/>
      <c r="P168" s="31">
        <f>O168+N168+M168+L168+I168+F168</f>
        <v>-10.186326370998305</v>
      </c>
      <c r="Q168" s="31">
        <f>SUM($P$36:P168)</f>
        <v>-1838.8171227457894</v>
      </c>
      <c r="R168" s="83">
        <f t="shared" si="30"/>
        <v>-0.17817402186035397</v>
      </c>
      <c r="S168" s="31">
        <f>SUMPRODUCT($P$36:P168,$D$36:D168)/D168-Q168</f>
        <v>-762.97252991546816</v>
      </c>
      <c r="T168" s="31">
        <f t="shared" si="24"/>
        <v>3710.1246471307995</v>
      </c>
      <c r="U168" s="31">
        <f t="shared" si="25"/>
        <v>4331.3646471307993</v>
      </c>
      <c r="V168" s="80" cm="1">
        <f t="array" ref="V168">IF($L$2&lt;&gt;1,IRR(IF(ROW($P$36:P168)=ROW(P168),P168+K168+J168,$P$36:P168),V167/12)*12,0)</f>
        <v>0.14164845455256803</v>
      </c>
      <c r="W168" s="83">
        <f>(1+V168/12)^(B168)-1</f>
        <v>3.7068015577636526</v>
      </c>
    </row>
    <row r="169" spans="2:23" x14ac:dyDescent="0.25">
      <c r="B169" s="33">
        <v>133</v>
      </c>
      <c r="C169" s="105">
        <f t="shared" si="23"/>
        <v>3.9789301544717048E-3</v>
      </c>
      <c r="D169" s="106">
        <f t="shared" si="26"/>
        <v>0.58969626801880792</v>
      </c>
      <c r="E169" s="60">
        <f>rate</f>
        <v>3.5145930840192463E-3</v>
      </c>
      <c r="F169" s="31">
        <f>IF(AND(B168&gt;=gracia,12*años+gracia-B168&gt;0,$L$2&lt;&gt;1),PMT(E168,12*años-B168+gracia,-J168),0)</f>
        <v>-21.169659704331636</v>
      </c>
      <c r="G169" s="31">
        <f>IF(AND(12*años+gracia-B168&gt;0,$L$2&lt;&gt;1),J168*E169,0)</f>
        <v>-11.854938459254427</v>
      </c>
      <c r="H169" s="31">
        <f>IF(AND(12*años+gracia-B168&gt;0,$L$2&lt;&gt;1),F169-G169,0)</f>
        <v>-9.3147212450772088</v>
      </c>
      <c r="I169" s="62"/>
      <c r="J169" s="61">
        <f>J168-H169-I169</f>
        <v>-3363.7467330548507</v>
      </c>
      <c r="K169" s="61">
        <f>K168*(1+$J$17)^(1/12)</f>
        <v>8965.4315260143503</v>
      </c>
      <c r="L169" s="31">
        <f t="shared" si="27"/>
        <v>16</v>
      </c>
      <c r="M169" s="31">
        <f t="shared" si="28"/>
        <v>-2.6666666666666661</v>
      </c>
      <c r="N169" s="31">
        <f t="shared" si="29"/>
        <v>-2.35</v>
      </c>
      <c r="O169" s="62"/>
      <c r="P169" s="31">
        <f>O169+N169+M169+L169+I169+F169</f>
        <v>-10.186326370998302</v>
      </c>
      <c r="Q169" s="31">
        <f>SUM($P$36:P169)</f>
        <v>-1849.0034491167878</v>
      </c>
      <c r="R169" s="83">
        <f t="shared" si="30"/>
        <v>-0.17831377494104025</v>
      </c>
      <c r="S169" s="31">
        <f>SUMPRODUCT($P$36:P169,$D$36:D169)/D169-Q169</f>
        <v>-773.32486922003432</v>
      </c>
      <c r="T169" s="31">
        <f t="shared" si="24"/>
        <v>3752.6813438427116</v>
      </c>
      <c r="U169" s="31">
        <f t="shared" si="25"/>
        <v>4373.9213438427114</v>
      </c>
      <c r="V169" s="80" cm="1">
        <f t="array" ref="V169">IF($L$2&lt;&gt;1,IRR(IF(ROW($P$36:P169)=ROW(P169),P169+K169+J169,$P$36:P169),V168/12)*12,0)</f>
        <v>0.14117244926849892</v>
      </c>
      <c r="W169" s="83">
        <f>(1+V169/12)^(B169)-1</f>
        <v>3.7375931719689923</v>
      </c>
    </row>
    <row r="170" spans="2:23" x14ac:dyDescent="0.25">
      <c r="B170" s="33">
        <v>134</v>
      </c>
      <c r="C170" s="105">
        <f t="shared" si="23"/>
        <v>3.9789301544717048E-3</v>
      </c>
      <c r="D170" s="106">
        <f t="shared" si="26"/>
        <v>0.58735920675952591</v>
      </c>
      <c r="E170" s="60">
        <f>rate</f>
        <v>3.5145930840192463E-3</v>
      </c>
      <c r="F170" s="31">
        <f>IF(AND(B169&gt;=gracia,12*años+gracia-B169&gt;0,$L$2&lt;&gt;1),PMT(E169,12*años-B169+gracia,-J169),0)</f>
        <v>-21.169659704331636</v>
      </c>
      <c r="G170" s="31">
        <f>IF(AND(12*años+gracia-B169&gt;0,$L$2&lt;&gt;1),J169*E170,0)</f>
        <v>-11.822201004386912</v>
      </c>
      <c r="H170" s="31">
        <f>IF(AND(12*años+gracia-B169&gt;0,$L$2&lt;&gt;1),F170-G170,0)</f>
        <v>-9.347458699944724</v>
      </c>
      <c r="I170" s="62"/>
      <c r="J170" s="61">
        <f>J169-H170-I170</f>
        <v>-3354.3992743549061</v>
      </c>
      <c r="K170" s="61">
        <f>K169*(1+$J$17)^(1/12)</f>
        <v>9009.0712173073462</v>
      </c>
      <c r="L170" s="31">
        <f t="shared" si="27"/>
        <v>16</v>
      </c>
      <c r="M170" s="31">
        <f t="shared" si="28"/>
        <v>-2.6666666666666661</v>
      </c>
      <c r="N170" s="31">
        <f t="shared" si="29"/>
        <v>-2.35</v>
      </c>
      <c r="O170" s="62"/>
      <c r="P170" s="31">
        <f>O170+N170+M170+L170+I170+F170</f>
        <v>-10.186326370998302</v>
      </c>
      <c r="Q170" s="31">
        <f>SUM($P$36:P170)</f>
        <v>-1859.1897754877862</v>
      </c>
      <c r="R170" s="83">
        <f t="shared" si="30"/>
        <v>-0.17845144215485056</v>
      </c>
      <c r="S170" s="31">
        <f>SUMPRODUCT($P$36:P170,$D$36:D170)/D170-Q170</f>
        <v>-783.75893044078953</v>
      </c>
      <c r="T170" s="31">
        <f t="shared" si="24"/>
        <v>3795.4821674646537</v>
      </c>
      <c r="U170" s="31">
        <f t="shared" si="25"/>
        <v>4416.7221674646535</v>
      </c>
      <c r="V170" s="80" cm="1">
        <f t="array" ref="V170">IF($L$2&lt;&gt;1,IRR(IF(ROW($P$36:P170)=ROW(P170),P170+K170+J170,$P$36:P170),V169/12)*12,0)</f>
        <v>0.14070112838545956</v>
      </c>
      <c r="W170" s="83">
        <f>(1+V170/12)^(B170)-1</f>
        <v>3.7684578866444634</v>
      </c>
    </row>
    <row r="171" spans="2:23" x14ac:dyDescent="0.25">
      <c r="B171" s="33">
        <v>135</v>
      </c>
      <c r="C171" s="105">
        <f t="shared" si="23"/>
        <v>3.9789301544717048E-3</v>
      </c>
      <c r="D171" s="106">
        <f t="shared" si="26"/>
        <v>0.58503140765031303</v>
      </c>
      <c r="E171" s="60">
        <f>rate</f>
        <v>3.5145930840192463E-3</v>
      </c>
      <c r="F171" s="31">
        <f>IF(AND(B170&gt;=gracia,12*años+gracia-B170&gt;0,$L$2&lt;&gt;1),PMT(E170,12*años-B170+gracia,-J170),0)</f>
        <v>-21.169659704331636</v>
      </c>
      <c r="G171" s="31">
        <f>IF(AND(12*años+gracia-B170&gt;0,$L$2&lt;&gt;1),J170*E171,0)</f>
        <v>-11.789348490686931</v>
      </c>
      <c r="H171" s="31">
        <f>IF(AND(12*años+gracia-B170&gt;0,$L$2&lt;&gt;1),F171-G171,0)</f>
        <v>-9.3803112136447044</v>
      </c>
      <c r="I171" s="62"/>
      <c r="J171" s="61">
        <f>J170-H171-I171</f>
        <v>-3345.0189631412613</v>
      </c>
      <c r="K171" s="61">
        <f>K170*(1+$J$17)^(1/12)</f>
        <v>9052.923327004366</v>
      </c>
      <c r="L171" s="31">
        <f t="shared" si="27"/>
        <v>16</v>
      </c>
      <c r="M171" s="31">
        <f t="shared" si="28"/>
        <v>-2.6666666666666661</v>
      </c>
      <c r="N171" s="31">
        <f t="shared" si="29"/>
        <v>-2.35</v>
      </c>
      <c r="O171" s="62"/>
      <c r="P171" s="31">
        <f>O171+N171+M171+L171+I171+F171</f>
        <v>-10.186326370998302</v>
      </c>
      <c r="Q171" s="31">
        <f>SUM($P$36:P171)</f>
        <v>-1869.3761018587845</v>
      </c>
      <c r="R171" s="83">
        <f t="shared" si="30"/>
        <v>-0.17858706985438219</v>
      </c>
      <c r="S171" s="31">
        <f>SUMPRODUCT($P$36:P171,$D$36:D171)/D171-Q171</f>
        <v>-794.27503874353101</v>
      </c>
      <c r="T171" s="31">
        <f t="shared" si="24"/>
        <v>3838.5282620043199</v>
      </c>
      <c r="U171" s="31">
        <f t="shared" si="25"/>
        <v>4459.7682620043197</v>
      </c>
      <c r="V171" s="80" cm="1">
        <f t="array" ref="V171">IF($L$2&lt;&gt;1,IRR(IF(ROW($P$36:P171)=ROW(P171),P171+K171+J171,$P$36:P171),V170/12)*12,0)</f>
        <v>0.14023442786564289</v>
      </c>
      <c r="W171" s="83">
        <f>(1+V171/12)^(B171)-1</f>
        <v>3.7993966559768522</v>
      </c>
    </row>
    <row r="172" spans="2:23" x14ac:dyDescent="0.25">
      <c r="B172" s="33">
        <v>136</v>
      </c>
      <c r="C172" s="105">
        <f t="shared" si="23"/>
        <v>3.9789301544717048E-3</v>
      </c>
      <c r="D172" s="106">
        <f t="shared" si="26"/>
        <v>0.58271283398377727</v>
      </c>
      <c r="E172" s="60">
        <f>rate</f>
        <v>3.5145930840192463E-3</v>
      </c>
      <c r="F172" s="31">
        <f>IF(AND(B171&gt;=gracia,12*años+gracia-B171&gt;0,$L$2&lt;&gt;1),PMT(E171,12*años-B171+gracia,-J171),0)</f>
        <v>-21.169659704331636</v>
      </c>
      <c r="G172" s="31">
        <f>IF(AND(12*años+gracia-B171&gt;0,$L$2&lt;&gt;1),J171*E172,0)</f>
        <v>-11.756380513769507</v>
      </c>
      <c r="H172" s="31">
        <f>IF(AND(12*años+gracia-B171&gt;0,$L$2&lt;&gt;1),F172-G172,0)</f>
        <v>-9.4132791905621289</v>
      </c>
      <c r="I172" s="62"/>
      <c r="J172" s="61">
        <f>J171-H172-I172</f>
        <v>-3335.6056839506991</v>
      </c>
      <c r="K172" s="61">
        <f>K171*(1+$J$17)^(1/12)</f>
        <v>9096.9888890627335</v>
      </c>
      <c r="L172" s="31">
        <f t="shared" si="27"/>
        <v>16</v>
      </c>
      <c r="M172" s="31">
        <f t="shared" si="28"/>
        <v>-2.6666666666666661</v>
      </c>
      <c r="N172" s="31">
        <f t="shared" si="29"/>
        <v>-2.35</v>
      </c>
      <c r="O172" s="62"/>
      <c r="P172" s="31">
        <f>O172+N172+M172+L172+I172+F172</f>
        <v>-10.186326370998302</v>
      </c>
      <c r="Q172" s="31">
        <f>SUM($P$36:P172)</f>
        <v>-1879.5624282297829</v>
      </c>
      <c r="R172" s="83">
        <f t="shared" si="30"/>
        <v>-0.17872070302892074</v>
      </c>
      <c r="S172" s="31">
        <f>SUMPRODUCT($P$36:P172,$D$36:D172)/D172-Q172</f>
        <v>-804.87352058786632</v>
      </c>
      <c r="T172" s="31">
        <f t="shared" si="24"/>
        <v>3881.8207768822513</v>
      </c>
      <c r="U172" s="31">
        <f t="shared" si="25"/>
        <v>4503.060776882251</v>
      </c>
      <c r="V172" s="80" cm="1">
        <f t="array" ref="V172">IF($L$2&lt;&gt;1,IRR(IF(ROW($P$36:P172)=ROW(P172),P172+K172+J172,$P$36:P172),V171/12)*12,0)</f>
        <v>0.13977228468680547</v>
      </c>
      <c r="W172" s="83">
        <f>(1+V172/12)^(B172)-1</f>
        <v>3.8304104291059842</v>
      </c>
    </row>
    <row r="173" spans="2:23" x14ac:dyDescent="0.25">
      <c r="B173" s="33">
        <v>137</v>
      </c>
      <c r="C173" s="105">
        <f t="shared" si="23"/>
        <v>3.9789301544717048E-3</v>
      </c>
      <c r="D173" s="106">
        <f t="shared" si="26"/>
        <v>0.58040344919800391</v>
      </c>
      <c r="E173" s="60">
        <f>rate</f>
        <v>3.5145930840192463E-3</v>
      </c>
      <c r="F173" s="31">
        <f>IF(AND(B172&gt;=gracia,12*años+gracia-B172&gt;0,$L$2&lt;&gt;1),PMT(E172,12*años-B172+gracia,-J172),0)</f>
        <v>-21.169659704331639</v>
      </c>
      <c r="G173" s="31">
        <f>IF(AND(12*años+gracia-B172&gt;0,$L$2&lt;&gt;1),J172*E173,0)</f>
        <v>-11.723296667828414</v>
      </c>
      <c r="H173" s="31">
        <f>IF(AND(12*años+gracia-B172&gt;0,$L$2&lt;&gt;1),F173-G173,0)</f>
        <v>-9.4463630365032252</v>
      </c>
      <c r="I173" s="62"/>
      <c r="J173" s="61">
        <f>J172-H173-I173</f>
        <v>-3326.1593209141961</v>
      </c>
      <c r="K173" s="61">
        <f>K172*(1+$J$17)^(1/12)</f>
        <v>9141.2689424726104</v>
      </c>
      <c r="L173" s="31">
        <f t="shared" si="27"/>
        <v>16</v>
      </c>
      <c r="M173" s="31">
        <f t="shared" si="28"/>
        <v>-2.6666666666666661</v>
      </c>
      <c r="N173" s="31">
        <f t="shared" si="29"/>
        <v>-2.35</v>
      </c>
      <c r="O173" s="62"/>
      <c r="P173" s="31">
        <f>O173+N173+M173+L173+I173+F173</f>
        <v>-10.186326370998305</v>
      </c>
      <c r="Q173" s="31">
        <f>SUM($P$36:P173)</f>
        <v>-1889.7487546007812</v>
      </c>
      <c r="R173" s="83">
        <f t="shared" si="30"/>
        <v>-0.17885238535419595</v>
      </c>
      <c r="S173" s="31">
        <f>SUMPRODUCT($P$36:P173,$D$36:D173)/D173-Q173</f>
        <v>-815.55470373236471</v>
      </c>
      <c r="T173" s="31">
        <f t="shared" si="24"/>
        <v>3925.3608669576333</v>
      </c>
      <c r="U173" s="31">
        <f t="shared" si="25"/>
        <v>4546.6008669576331</v>
      </c>
      <c r="V173" s="80" cm="1">
        <f t="array" ref="V173">IF($L$2&lt;&gt;1,IRR(IF(ROW($P$36:P173)=ROW(P173),P173+K173+J173,$P$36:P173),V172/12)*12,0)</f>
        <v>0.13931463682915801</v>
      </c>
      <c r="W173" s="83">
        <f>(1+V173/12)^(B173)-1</f>
        <v>3.8615001502902144</v>
      </c>
    </row>
    <row r="174" spans="2:23" x14ac:dyDescent="0.25">
      <c r="B174" s="33">
        <v>138</v>
      </c>
      <c r="C174" s="105">
        <f t="shared" si="23"/>
        <v>3.9789301544717048E-3</v>
      </c>
      <c r="D174" s="106">
        <f t="shared" si="26"/>
        <v>0.57810321687597899</v>
      </c>
      <c r="E174" s="60">
        <f>rate</f>
        <v>3.5145930840192463E-3</v>
      </c>
      <c r="F174" s="31">
        <f>IF(AND(B173&gt;=gracia,12*años+gracia-B173&gt;0,$L$2&lt;&gt;1),PMT(E173,12*años-B173+gracia,-J173),0)</f>
        <v>-21.169659704331639</v>
      </c>
      <c r="G174" s="31">
        <f>IF(AND(12*años+gracia-B173&gt;0,$L$2&lt;&gt;1),J173*E174,0)</f>
        <v>-11.690096545631187</v>
      </c>
      <c r="H174" s="31">
        <f>IF(AND(12*años+gracia-B173&gt;0,$L$2&lt;&gt;1),F174-G174,0)</f>
        <v>-9.4795631587004525</v>
      </c>
      <c r="I174" s="62"/>
      <c r="J174" s="61">
        <f>J173-H174-I174</f>
        <v>-3316.6797577554958</v>
      </c>
      <c r="K174" s="61">
        <f>K173*(1+$J$17)^(1/12)</f>
        <v>9185.7645312814966</v>
      </c>
      <c r="L174" s="31">
        <f t="shared" si="27"/>
        <v>16</v>
      </c>
      <c r="M174" s="31">
        <f t="shared" si="28"/>
        <v>-2.6666666666666661</v>
      </c>
      <c r="N174" s="31">
        <f t="shared" si="29"/>
        <v>-2.35</v>
      </c>
      <c r="O174" s="62"/>
      <c r="P174" s="31">
        <f>O174+N174+M174+L174+I174+F174</f>
        <v>-10.186326370998305</v>
      </c>
      <c r="Q174" s="31">
        <f>SUM($P$36:P174)</f>
        <v>-1899.9350809717796</v>
      </c>
      <c r="R174" s="83">
        <f t="shared" si="30"/>
        <v>-0.17898215923997438</v>
      </c>
      <c r="S174" s="31">
        <f>SUMPRODUCT($P$36:P174,$D$36:D174)/D174-Q174</f>
        <v>-826.31891723972308</v>
      </c>
      <c r="T174" s="31">
        <f t="shared" si="24"/>
        <v>3969.1496925542215</v>
      </c>
      <c r="U174" s="31">
        <f t="shared" si="25"/>
        <v>4590.3896925542213</v>
      </c>
      <c r="V174" s="80" cm="1">
        <f t="array" ref="V174">IF($L$2&lt;&gt;1,IRR(IF(ROW($P$36:P174)=ROW(P174),P174+K174+J174,$P$36:P174),V173/12)*12,0)</f>
        <v>0.13886142326199202</v>
      </c>
      <c r="W174" s="83">
        <f>(1+V174/12)^(B174)-1</f>
        <v>3.8926667590655679</v>
      </c>
    </row>
    <row r="175" spans="2:23" x14ac:dyDescent="0.25">
      <c r="B175" s="33">
        <v>139</v>
      </c>
      <c r="C175" s="105">
        <f t="shared" si="23"/>
        <v>3.9789301544717048E-3</v>
      </c>
      <c r="D175" s="106">
        <f t="shared" si="26"/>
        <v>0.57581210074501499</v>
      </c>
      <c r="E175" s="60">
        <f>rate</f>
        <v>3.5145930840192463E-3</v>
      </c>
      <c r="F175" s="31">
        <f>IF(AND(B174&gt;=gracia,12*años+gracia-B174&gt;0,$L$2&lt;&gt;1),PMT(E174,12*años-B174+gracia,-J174),0)</f>
        <v>-21.169659704331636</v>
      </c>
      <c r="G175" s="31">
        <f>IF(AND(12*años+gracia-B174&gt;0,$L$2&lt;&gt;1),J174*E175,0)</f>
        <v>-11.656779738514095</v>
      </c>
      <c r="H175" s="31">
        <f>IF(AND(12*años+gracia-B174&gt;0,$L$2&lt;&gt;1),F175-G175,0)</f>
        <v>-9.5128799658175414</v>
      </c>
      <c r="I175" s="62"/>
      <c r="J175" s="61">
        <f>J174-H175-I175</f>
        <v>-3307.1668777896784</v>
      </c>
      <c r="K175" s="61">
        <f>K174*(1+$J$17)^(1/12)</f>
        <v>9230.4767046188445</v>
      </c>
      <c r="L175" s="31">
        <f t="shared" si="27"/>
        <v>16</v>
      </c>
      <c r="M175" s="31">
        <f t="shared" si="28"/>
        <v>-2.6666666666666661</v>
      </c>
      <c r="N175" s="31">
        <f t="shared" si="29"/>
        <v>-2.35</v>
      </c>
      <c r="O175" s="62"/>
      <c r="P175" s="31">
        <f>O175+N175+M175+L175+I175+F175</f>
        <v>-10.186326370998302</v>
      </c>
      <c r="Q175" s="31">
        <f>SUM($P$36:P175)</f>
        <v>-1910.121407342778</v>
      </c>
      <c r="R175" s="83">
        <f t="shared" si="30"/>
        <v>-0.1791100658755978</v>
      </c>
      <c r="S175" s="31">
        <f>SUMPRODUCT($P$36:P175,$D$36:D175)/D175-Q175</f>
        <v>-837.16649148195552</v>
      </c>
      <c r="T175" s="31">
        <f t="shared" si="24"/>
        <v>4013.1884194863878</v>
      </c>
      <c r="U175" s="31">
        <f t="shared" si="25"/>
        <v>4634.4284194863876</v>
      </c>
      <c r="V175" s="80" cm="1">
        <f t="array" ref="V175">IF($L$2&lt;&gt;1,IRR(IF(ROW($P$36:P175)=ROW(P175),P175+K175+J175,$P$36:P175),V174/12)*12,0)</f>
        <v>0.13841258393012801</v>
      </c>
      <c r="W175" s="83">
        <f>(1+V175/12)^(B175)-1</f>
        <v>3.9239111904026487</v>
      </c>
    </row>
    <row r="176" spans="2:23" x14ac:dyDescent="0.25">
      <c r="B176" s="33">
        <v>140</v>
      </c>
      <c r="C176" s="105">
        <f t="shared" si="23"/>
        <v>3.9789301544717048E-3</v>
      </c>
      <c r="D176" s="106">
        <f t="shared" si="26"/>
        <v>0.57353006467617884</v>
      </c>
      <c r="E176" s="60">
        <f>rate</f>
        <v>3.5145930840192463E-3</v>
      </c>
      <c r="F176" s="31">
        <f>IF(AND(B175&gt;=gracia,12*años+gracia-B175&gt;0,$L$2&lt;&gt;1),PMT(E175,12*años-B175+gracia,-J175),0)</f>
        <v>-21.169659704331636</v>
      </c>
      <c r="G176" s="31">
        <f>IF(AND(12*años+gracia-B175&gt;0,$L$2&lt;&gt;1),J175*E176,0)</f>
        <v>-11.623345836377128</v>
      </c>
      <c r="H176" s="31">
        <f>IF(AND(12*años+gracia-B175&gt;0,$L$2&lt;&gt;1),F176-G176,0)</f>
        <v>-9.5463138679545079</v>
      </c>
      <c r="I176" s="62"/>
      <c r="J176" s="61">
        <f>J175-H176-I176</f>
        <v>-3297.6205639217237</v>
      </c>
      <c r="K176" s="61">
        <f>K175*(1+$J$17)^(1/12)</f>
        <v>9275.4065167207973</v>
      </c>
      <c r="L176" s="31">
        <f t="shared" si="27"/>
        <v>16</v>
      </c>
      <c r="M176" s="31">
        <f t="shared" si="28"/>
        <v>-2.6666666666666661</v>
      </c>
      <c r="N176" s="31">
        <f t="shared" si="29"/>
        <v>-2.35</v>
      </c>
      <c r="O176" s="62"/>
      <c r="P176" s="31">
        <f>O176+N176+M176+L176+I176+F176</f>
        <v>-10.186326370998302</v>
      </c>
      <c r="Q176" s="31">
        <f>SUM($P$36:P176)</f>
        <v>-1920.3077337137763</v>
      </c>
      <c r="R176" s="83">
        <f t="shared" si="30"/>
        <v>-0.1792361452735694</v>
      </c>
      <c r="S176" s="31">
        <f>SUMPRODUCT($P$36:P176,$D$36:D176)/D176-Q176</f>
        <v>-848.0977581456043</v>
      </c>
      <c r="T176" s="31">
        <f t="shared" si="24"/>
        <v>4057.4782190852975</v>
      </c>
      <c r="U176" s="31">
        <f t="shared" si="25"/>
        <v>4678.7182190852973</v>
      </c>
      <c r="V176" s="80" cm="1">
        <f t="array" ref="V176">IF($L$2&lt;&gt;1,IRR(IF(ROW($P$36:P176)=ROW(P176),P176+K176+J176,$P$36:P176),V175/12)*12,0)</f>
        <v>0.13796805974021442</v>
      </c>
      <c r="W176" s="83">
        <f>(1+V176/12)^(B176)-1</f>
        <v>3.9552343748593275</v>
      </c>
    </row>
    <row r="177" spans="2:23" x14ac:dyDescent="0.25">
      <c r="B177" s="33">
        <v>141</v>
      </c>
      <c r="C177" s="105">
        <f t="shared" si="23"/>
        <v>3.9789301544717048E-3</v>
      </c>
      <c r="D177" s="106">
        <f t="shared" si="26"/>
        <v>0.57125707268372239</v>
      </c>
      <c r="E177" s="60">
        <f>rate</f>
        <v>3.5145930840192463E-3</v>
      </c>
      <c r="F177" s="31">
        <f>IF(AND(B176&gt;=gracia,12*años+gracia-B176&gt;0,$L$2&lt;&gt;1),PMT(E176,12*años-B176+gracia,-J176),0)</f>
        <v>-21.169659704331639</v>
      </c>
      <c r="G177" s="31">
        <f>IF(AND(12*años+gracia-B176&gt;0,$L$2&lt;&gt;1),J176*E177,0)</f>
        <v>-11.589794427678937</v>
      </c>
      <c r="H177" s="31">
        <f>IF(AND(12*años+gracia-B176&gt;0,$L$2&lt;&gt;1),F177-G177,0)</f>
        <v>-9.5798652766527024</v>
      </c>
      <c r="I177" s="62"/>
      <c r="J177" s="61">
        <f>J176-H177-I177</f>
        <v>-3288.0406986450712</v>
      </c>
      <c r="K177" s="61">
        <f>K176*(1+$J$17)^(1/12)</f>
        <v>9320.5550269550477</v>
      </c>
      <c r="L177" s="31">
        <f t="shared" si="27"/>
        <v>16</v>
      </c>
      <c r="M177" s="31">
        <f t="shared" si="28"/>
        <v>-2.6666666666666661</v>
      </c>
      <c r="N177" s="31">
        <f t="shared" si="29"/>
        <v>-2.35</v>
      </c>
      <c r="O177" s="62"/>
      <c r="P177" s="31">
        <f>O177+N177+M177+L177+I177+F177</f>
        <v>-10.186326370998305</v>
      </c>
      <c r="Q177" s="31">
        <f>SUM($P$36:P177)</f>
        <v>-1930.4940600847747</v>
      </c>
      <c r="R177" s="83">
        <f t="shared" si="30"/>
        <v>-0.17936043631128609</v>
      </c>
      <c r="S177" s="31">
        <f>SUMPRODUCT($P$36:P177,$D$36:D177)/D177-Q177</f>
        <v>-859.11305023696855</v>
      </c>
      <c r="T177" s="31">
        <f t="shared" si="24"/>
        <v>4102.020268225202</v>
      </c>
      <c r="U177" s="31">
        <f t="shared" si="25"/>
        <v>4723.2602682252018</v>
      </c>
      <c r="V177" s="80" cm="1">
        <f t="array" ref="V177">IF($L$2&lt;&gt;1,IRR(IF(ROW($P$36:P177)=ROW(P177),P177+K177+J177,$P$36:P177),V176/12)*12,0)</f>
        <v>0.13752779254689607</v>
      </c>
      <c r="W177" s="83">
        <f>(1+V177/12)^(B177)-1</f>
        <v>3.9866372387293918</v>
      </c>
    </row>
    <row r="178" spans="2:23" x14ac:dyDescent="0.25">
      <c r="B178" s="33">
        <v>142</v>
      </c>
      <c r="C178" s="105">
        <f t="shared" si="23"/>
        <v>3.9789301544717048E-3</v>
      </c>
      <c r="D178" s="106">
        <f t="shared" si="26"/>
        <v>0.56899308892451461</v>
      </c>
      <c r="E178" s="60">
        <f>rate</f>
        <v>3.5145930840192463E-3</v>
      </c>
      <c r="F178" s="31">
        <f>IF(AND(B177&gt;=gracia,12*años+gracia-B177&gt;0,$L$2&lt;&gt;1),PMT(E177,12*años-B177+gracia,-J177),0)</f>
        <v>-21.169659704331643</v>
      </c>
      <c r="G178" s="31">
        <f>IF(AND(12*años+gracia-B177&gt;0,$L$2&lt;&gt;1),J177*E178,0)</f>
        <v>-11.556125099431778</v>
      </c>
      <c r="H178" s="31">
        <f>IF(AND(12*años+gracia-B177&gt;0,$L$2&lt;&gt;1),F178-G178,0)</f>
        <v>-9.6135346048998649</v>
      </c>
      <c r="I178" s="62"/>
      <c r="J178" s="61">
        <f>J177-H178-I178</f>
        <v>-3278.4271640401712</v>
      </c>
      <c r="K178" s="61">
        <f>K177*(1+$J$17)^(1/12)</f>
        <v>9365.9232998458137</v>
      </c>
      <c r="L178" s="31">
        <f t="shared" si="27"/>
        <v>16</v>
      </c>
      <c r="M178" s="31">
        <f t="shared" si="28"/>
        <v>-2.6666666666666661</v>
      </c>
      <c r="N178" s="31">
        <f t="shared" si="29"/>
        <v>-2.35</v>
      </c>
      <c r="O178" s="62"/>
      <c r="P178" s="31">
        <f>O178+N178+M178+L178+I178+F178</f>
        <v>-10.186326370998309</v>
      </c>
      <c r="Q178" s="31">
        <f>SUM($P$36:P178)</f>
        <v>-1940.680386455773</v>
      </c>
      <c r="R178" s="83">
        <f t="shared" si="30"/>
        <v>-0.17948297677100677</v>
      </c>
      <c r="S178" s="31">
        <f>SUMPRODUCT($P$36:P178,$D$36:D178)/D178-Q178</f>
        <v>-870.21270208735655</v>
      </c>
      <c r="T178" s="31">
        <f t="shared" si="24"/>
        <v>4146.8157493498693</v>
      </c>
      <c r="U178" s="31">
        <f t="shared" si="25"/>
        <v>4768.0557493498691</v>
      </c>
      <c r="V178" s="80" cm="1">
        <f t="array" ref="V178">IF($L$2&lt;&gt;1,IRR(IF(ROW($P$36:P178)=ROW(P178),P178+K178+J178,$P$36:P178),V177/12)*12,0)</f>
        <v>0.1370917251389292</v>
      </c>
      <c r="W178" s="83">
        <f>(1+V178/12)^(B178)-1</f>
        <v>4.0181207041888198</v>
      </c>
    </row>
    <row r="179" spans="2:23" x14ac:dyDescent="0.25">
      <c r="B179" s="33">
        <v>143</v>
      </c>
      <c r="C179" s="105">
        <f t="shared" si="23"/>
        <v>3.9789301544717048E-3</v>
      </c>
      <c r="D179" s="106">
        <f t="shared" si="26"/>
        <v>0.56673807769747675</v>
      </c>
      <c r="E179" s="60">
        <f>rate</f>
        <v>3.5145930840192463E-3</v>
      </c>
      <c r="F179" s="31">
        <f>IF(AND(B178&gt;=gracia,12*años+gracia-B178&gt;0,$L$2&lt;&gt;1),PMT(E178,12*años-B178+gracia,-J178),0)</f>
        <v>-21.169659704331636</v>
      </c>
      <c r="G179" s="31">
        <f>IF(AND(12*años+gracia-B178&gt;0,$L$2&lt;&gt;1),J178*E179,0)</f>
        <v>-11.522337437196416</v>
      </c>
      <c r="H179" s="31">
        <f>IF(AND(12*años+gracia-B178&gt;0,$L$2&lt;&gt;1),F179-G179,0)</f>
        <v>-9.6473222671352197</v>
      </c>
      <c r="I179" s="62"/>
      <c r="J179" s="61">
        <f>J178-H179-I179</f>
        <v>-3268.779841773036</v>
      </c>
      <c r="K179" s="61">
        <f>K178*(1+$J$17)^(1/12)</f>
        <v>9411.512405098938</v>
      </c>
      <c r="L179" s="31">
        <f t="shared" si="27"/>
        <v>16</v>
      </c>
      <c r="M179" s="31">
        <f t="shared" si="28"/>
        <v>-2.6666666666666661</v>
      </c>
      <c r="N179" s="31">
        <f t="shared" si="29"/>
        <v>-2.35</v>
      </c>
      <c r="O179" s="62"/>
      <c r="P179" s="31">
        <f>O179+N179+M179+L179+I179+F179</f>
        <v>-10.186326370998302</v>
      </c>
      <c r="Q179" s="31">
        <f>SUM($P$36:P179)</f>
        <v>-1950.8667128267714</v>
      </c>
      <c r="R179" s="83">
        <f t="shared" si="30"/>
        <v>-0.17960380337814399</v>
      </c>
      <c r="S179" s="31">
        <f>SUMPRODUCT($P$36:P179,$D$36:D179)/D179-Q179</f>
        <v>-881.39704935835721</v>
      </c>
      <c r="T179" s="31">
        <f t="shared" si="24"/>
        <v>4191.8658504991308</v>
      </c>
      <c r="U179" s="31">
        <f t="shared" si="25"/>
        <v>4813.1058504991306</v>
      </c>
      <c r="V179" s="80" cm="1">
        <f t="array" ref="V179">IF($L$2&lt;&gt;1,IRR(IF(ROW($P$36:P179)=ROW(P179),P179+K179+J179,$P$36:P179),V178/12)*12,0)</f>
        <v>0.13665980122522203</v>
      </c>
      <c r="W179" s="83">
        <f>(1+V179/12)^(B179)-1</f>
        <v>4.0496856894379931</v>
      </c>
    </row>
    <row r="180" spans="2:23" x14ac:dyDescent="0.25">
      <c r="B180" s="33">
        <v>144</v>
      </c>
      <c r="C180" s="105">
        <f t="shared" si="23"/>
        <v>3.9789301544717048E-3</v>
      </c>
      <c r="D180" s="106">
        <f t="shared" si="26"/>
        <v>0.5644920034430192</v>
      </c>
      <c r="E180" s="60">
        <f>rate</f>
        <v>3.5145930840192463E-3</v>
      </c>
      <c r="F180" s="31">
        <f>IF(AND(B179&gt;=gracia,12*años+gracia-B179&gt;0,$L$2&lt;&gt;1),PMT(E179,12*años-B179+gracia,-J179),0)</f>
        <v>-21.169659704331636</v>
      </c>
      <c r="G180" s="31">
        <f>IF(AND(12*años+gracia-B179&gt;0,$L$2&lt;&gt;1),J179*E180,0)</f>
        <v>-11.488431025077038</v>
      </c>
      <c r="H180" s="31">
        <f>IF(AND(12*años+gracia-B179&gt;0,$L$2&lt;&gt;1),F180-G180,0)</f>
        <v>-9.6812286792545983</v>
      </c>
      <c r="I180" s="62"/>
      <c r="J180" s="61">
        <f>J179-H180-I180</f>
        <v>-3259.0986130937813</v>
      </c>
      <c r="K180" s="61">
        <f>K179*(1+$J$17)^(1/12)</f>
        <v>9457.3234176271108</v>
      </c>
      <c r="L180" s="31">
        <f t="shared" si="27"/>
        <v>16</v>
      </c>
      <c r="M180" s="31">
        <f t="shared" si="28"/>
        <v>-2.6666666666666661</v>
      </c>
      <c r="N180" s="31">
        <f t="shared" si="29"/>
        <v>-2.35</v>
      </c>
      <c r="O180" s="62"/>
      <c r="P180" s="31">
        <f>O180+N180+M180+L180+I180+F180</f>
        <v>-10.186326370998302</v>
      </c>
      <c r="Q180" s="31">
        <f>SUM($P$36:P180)</f>
        <v>-1961.0530391977697</v>
      </c>
      <c r="R180" s="83">
        <f t="shared" si="30"/>
        <v>-0.17972295183795978</v>
      </c>
      <c r="S180" s="31">
        <f>SUMPRODUCT($P$36:P180,$D$36:D180)/D180-Q180</f>
        <v>-892.66642904713285</v>
      </c>
      <c r="T180" s="31">
        <f t="shared" si="24"/>
        <v>4237.1717653355599</v>
      </c>
      <c r="U180" s="31">
        <f t="shared" si="25"/>
        <v>4858.4117653355597</v>
      </c>
      <c r="V180" s="80" cm="1">
        <f t="array" ref="V180">IF($L$2&lt;&gt;1,IRR(IF(ROW($P$36:P180)=ROW(P180),P180+K180+J180,$P$36:P180),V179/12)*12,0)</f>
        <v>0.13623196542085658</v>
      </c>
      <c r="W180" s="83">
        <f>(1+V180/12)^(B180)-1</f>
        <v>4.081333108840572</v>
      </c>
    </row>
    <row r="181" spans="2:23" x14ac:dyDescent="0.25">
      <c r="B181" s="33">
        <v>145</v>
      </c>
      <c r="C181" s="105">
        <f t="shared" si="23"/>
        <v>3.9789301544717048E-3</v>
      </c>
      <c r="D181" s="106">
        <f t="shared" si="26"/>
        <v>0.5622548307424805</v>
      </c>
      <c r="E181" s="60">
        <f>rate</f>
        <v>3.5145930840192463E-3</v>
      </c>
      <c r="F181" s="31">
        <f>IF(AND(B180&gt;=gracia,12*años+gracia-B180&gt;0,$L$2&lt;&gt;1),PMT(E180,12*años-B180+gracia,-J180),0)</f>
        <v>-21.169659704331639</v>
      </c>
      <c r="G181" s="31">
        <f>IF(AND(12*años+gracia-B180&gt;0,$L$2&lt;&gt;1),J180*E181,0)</f>
        <v>-11.454405445716121</v>
      </c>
      <c r="H181" s="31">
        <f>IF(AND(12*años+gracia-B180&gt;0,$L$2&lt;&gt;1),F181-G181,0)</f>
        <v>-9.7152542586155182</v>
      </c>
      <c r="I181" s="62"/>
      <c r="J181" s="61">
        <f>J180-H181-I181</f>
        <v>-3249.3833588351658</v>
      </c>
      <c r="K181" s="61">
        <f>K180*(1+$J$17)^(1/12)</f>
        <v>9503.3574175752128</v>
      </c>
      <c r="L181" s="31">
        <f t="shared" si="27"/>
        <v>16</v>
      </c>
      <c r="M181" s="31">
        <f t="shared" si="28"/>
        <v>-2.6666666666666661</v>
      </c>
      <c r="N181" s="31">
        <f t="shared" si="29"/>
        <v>-2.35</v>
      </c>
      <c r="O181" s="62"/>
      <c r="P181" s="31">
        <f>O181+N181+M181+L181+I181+F181</f>
        <v>-10.186326370998305</v>
      </c>
      <c r="Q181" s="31">
        <f>SUM($P$36:P181)</f>
        <v>-1971.2393655687681</v>
      </c>
      <c r="R181" s="83">
        <f t="shared" si="30"/>
        <v>-0.17984045687074368</v>
      </c>
      <c r="S181" s="31">
        <f>SUMPRODUCT($P$36:P181,$D$36:D181)/D181-Q181</f>
        <v>-904.02117949173567</v>
      </c>
      <c r="T181" s="31">
        <f t="shared" si="24"/>
        <v>4282.7346931712791</v>
      </c>
      <c r="U181" s="31">
        <f t="shared" si="25"/>
        <v>4903.9746931712789</v>
      </c>
      <c r="V181" s="80" cm="1">
        <f t="array" ref="V181">IF($L$2&lt;&gt;1,IRR(IF(ROW($P$36:P181)=ROW(P181),P181+K181+J181,$P$36:P181),V180/12)*12,0)</f>
        <v>0.13580816323312916</v>
      </c>
      <c r="W181" s="83">
        <f>(1+V181/12)^(B181)-1</f>
        <v>4.1130638730607849</v>
      </c>
    </row>
    <row r="182" spans="2:23" x14ac:dyDescent="0.25">
      <c r="B182" s="33">
        <v>146</v>
      </c>
      <c r="C182" s="105">
        <f t="shared" si="23"/>
        <v>3.9789301544717048E-3</v>
      </c>
      <c r="D182" s="106">
        <f t="shared" si="26"/>
        <v>0.56002652431756939</v>
      </c>
      <c r="E182" s="60">
        <f>rate</f>
        <v>3.5145930840192463E-3</v>
      </c>
      <c r="F182" s="31">
        <f>IF(AND(B181&gt;=gracia,12*años+gracia-B181&gt;0,$L$2&lt;&gt;1),PMT(E181,12*años-B181+gracia,-J181),0)</f>
        <v>-21.169659704331639</v>
      </c>
      <c r="G182" s="31">
        <f>IF(AND(12*años+gracia-B181&gt;0,$L$2&lt;&gt;1),J181*E182,0)</f>
        <v>-11.420260280289304</v>
      </c>
      <c r="H182" s="31">
        <f>IF(AND(12*años+gracia-B181&gt;0,$L$2&lt;&gt;1),F182-G182,0)</f>
        <v>-9.7493994240423358</v>
      </c>
      <c r="I182" s="62"/>
      <c r="J182" s="61">
        <f>J181-H182-I182</f>
        <v>-3239.6339594111237</v>
      </c>
      <c r="K182" s="61">
        <f>K181*(1+$J$17)^(1/12)</f>
        <v>9549.6154903457882</v>
      </c>
      <c r="L182" s="31">
        <f t="shared" si="27"/>
        <v>16</v>
      </c>
      <c r="M182" s="31">
        <f t="shared" si="28"/>
        <v>-2.6666666666666661</v>
      </c>
      <c r="N182" s="31">
        <f t="shared" si="29"/>
        <v>-2.35</v>
      </c>
      <c r="O182" s="62"/>
      <c r="P182" s="31">
        <f>O182+N182+M182+L182+I182+F182</f>
        <v>-10.186326370998305</v>
      </c>
      <c r="Q182" s="31">
        <f>SUM($P$36:P182)</f>
        <v>-1981.4256919397665</v>
      </c>
      <c r="R182" s="83">
        <f t="shared" si="30"/>
        <v>-0.17995635224554421</v>
      </c>
      <c r="S182" s="31">
        <f>SUMPRODUCT($P$36:P182,$D$36:D182)/D182-Q182</f>
        <v>-915.46164037643962</v>
      </c>
      <c r="T182" s="31">
        <f t="shared" si="24"/>
        <v>4328.5558389948983</v>
      </c>
      <c r="U182" s="31">
        <f t="shared" si="25"/>
        <v>4949.7958389948981</v>
      </c>
      <c r="V182" s="80" cm="1">
        <f t="array" ref="V182">IF($L$2&lt;&gt;1,IRR(IF(ROW($P$36:P182)=ROW(P182),P182+K182+J182,$P$36:P182),V181/12)*12,0)</f>
        <v>0.13538834104756692</v>
      </c>
      <c r="W182" s="83">
        <f>(1+V182/12)^(B182)-1</f>
        <v>4.1448788891944988</v>
      </c>
    </row>
    <row r="183" spans="2:23" x14ac:dyDescent="0.25">
      <c r="B183" s="33">
        <v>147</v>
      </c>
      <c r="C183" s="105">
        <f t="shared" si="23"/>
        <v>3.9789301544717048E-3</v>
      </c>
      <c r="D183" s="106">
        <f t="shared" si="26"/>
        <v>0.55780704902980782</v>
      </c>
      <c r="E183" s="60">
        <f>rate</f>
        <v>3.5145930840192463E-3</v>
      </c>
      <c r="F183" s="31">
        <f>IF(AND(B182&gt;=gracia,12*años+gracia-B182&gt;0,$L$2&lt;&gt;1),PMT(E182,12*años-B182+gracia,-J182),0)</f>
        <v>-21.169659704331643</v>
      </c>
      <c r="G183" s="31">
        <f>IF(AND(12*años+gracia-B182&gt;0,$L$2&lt;&gt;1),J182*E183,0)</f>
        <v>-11.385995108500223</v>
      </c>
      <c r="H183" s="31">
        <f>IF(AND(12*años+gracia-B182&gt;0,$L$2&lt;&gt;1),F183-G183,0)</f>
        <v>-9.7836645958314197</v>
      </c>
      <c r="I183" s="62"/>
      <c r="J183" s="61">
        <f>J182-H183-I183</f>
        <v>-3229.8502948152923</v>
      </c>
      <c r="K183" s="61">
        <f>K182*(1+$J$17)^(1/12)</f>
        <v>9596.0987266246302</v>
      </c>
      <c r="L183" s="31">
        <f t="shared" si="27"/>
        <v>16</v>
      </c>
      <c r="M183" s="31">
        <f t="shared" si="28"/>
        <v>-2.6666666666666661</v>
      </c>
      <c r="N183" s="31">
        <f t="shared" si="29"/>
        <v>-2.35</v>
      </c>
      <c r="O183" s="62"/>
      <c r="P183" s="31">
        <f>O183+N183+M183+L183+I183+F183</f>
        <v>-10.186326370998309</v>
      </c>
      <c r="Q183" s="31">
        <f>SUM($P$36:P183)</f>
        <v>-1991.6120183107648</v>
      </c>
      <c r="R183" s="83">
        <f t="shared" si="30"/>
        <v>-0.18007067081252434</v>
      </c>
      <c r="S183" s="31">
        <f>SUMPRODUCT($P$36:P183,$D$36:D183)/D183-Q183</f>
        <v>-926.9881527370992</v>
      </c>
      <c r="T183" s="31">
        <f t="shared" si="24"/>
        <v>4374.6364134985733</v>
      </c>
      <c r="U183" s="31">
        <f t="shared" si="25"/>
        <v>4995.8764134985731</v>
      </c>
      <c r="V183" s="80" cm="1">
        <f t="array" ref="V183">IF($L$2&lt;&gt;1,IRR(IF(ROW($P$36:P183)=ROW(P183),P183+K183+J183,$P$36:P183),V182/12)*12,0)</f>
        <v>0.13497244611404557</v>
      </c>
      <c r="W183" s="83">
        <f>(1+V183/12)^(B183)-1</f>
        <v>4.1767790609011124</v>
      </c>
    </row>
    <row r="184" spans="2:23" x14ac:dyDescent="0.25">
      <c r="B184" s="33">
        <v>148</v>
      </c>
      <c r="C184" s="105">
        <f t="shared" si="23"/>
        <v>3.9789301544717048E-3</v>
      </c>
      <c r="D184" s="106">
        <f t="shared" si="26"/>
        <v>0.5555963698799774</v>
      </c>
      <c r="E184" s="60">
        <f>rate</f>
        <v>3.5145930840192463E-3</v>
      </c>
      <c r="F184" s="31">
        <f>IF(AND(B183&gt;=gracia,12*años+gracia-B183&gt;0,$L$2&lt;&gt;1),PMT(E183,12*años-B183+gracia,-J183),0)</f>
        <v>-21.169659704331639</v>
      </c>
      <c r="G184" s="31">
        <f>IF(AND(12*años+gracia-B183&gt;0,$L$2&lt;&gt;1),J183*E184,0)</f>
        <v>-11.351609508575351</v>
      </c>
      <c r="H184" s="31">
        <f>IF(AND(12*años+gracia-B183&gt;0,$L$2&lt;&gt;1),F184-G184,0)</f>
        <v>-9.8180501957562889</v>
      </c>
      <c r="I184" s="62"/>
      <c r="J184" s="61">
        <f>J183-H184-I184</f>
        <v>-3220.032244619536</v>
      </c>
      <c r="K184" s="61">
        <f>K183*(1+$J$17)^(1/12)</f>
        <v>9642.8082224065001</v>
      </c>
      <c r="L184" s="31">
        <f t="shared" si="27"/>
        <v>16</v>
      </c>
      <c r="M184" s="31">
        <f t="shared" si="28"/>
        <v>-2.6666666666666661</v>
      </c>
      <c r="N184" s="31">
        <f t="shared" si="29"/>
        <v>-2.35</v>
      </c>
      <c r="O184" s="62"/>
      <c r="P184" s="31">
        <f>O184+N184+M184+L184+I184+F184</f>
        <v>-10.186326370998305</v>
      </c>
      <c r="Q184" s="31">
        <f>SUM($P$36:P184)</f>
        <v>-2001.7983446817632</v>
      </c>
      <c r="R184" s="83">
        <f t="shared" si="30"/>
        <v>-0.18018344453400476</v>
      </c>
      <c r="S184" s="31">
        <f>SUMPRODUCT($P$36:P184,$D$36:D184)/D184-Q184</f>
        <v>-938.60105896652772</v>
      </c>
      <c r="T184" s="31">
        <f t="shared" si="24"/>
        <v>4420.9776331052008</v>
      </c>
      <c r="U184" s="31">
        <f t="shared" si="25"/>
        <v>5042.2176331052005</v>
      </c>
      <c r="V184" s="80" cm="1">
        <f t="array" ref="V184">IF($L$2&lt;&gt;1,IRR(IF(ROW($P$36:P184)=ROW(P184),P184+K184+J184,$P$36:P184),V183/12)*12,0)</f>
        <v>0.13456042653291256</v>
      </c>
      <c r="W184" s="83">
        <f>(1+V184/12)^(B184)-1</f>
        <v>4.2087652885299365</v>
      </c>
    </row>
    <row r="185" spans="2:23" x14ac:dyDescent="0.25">
      <c r="B185" s="33">
        <v>149</v>
      </c>
      <c r="C185" s="105">
        <f t="shared" si="23"/>
        <v>3.9789301544717048E-3</v>
      </c>
      <c r="D185" s="106">
        <f t="shared" si="26"/>
        <v>0.55339445200756709</v>
      </c>
      <c r="E185" s="60">
        <f>rate</f>
        <v>3.5145930840192463E-3</v>
      </c>
      <c r="F185" s="31">
        <f>IF(AND(B184&gt;=gracia,12*años+gracia-B184&gt;0,$L$2&lt;&gt;1),PMT(E184,12*años-B184+gracia,-J184),0)</f>
        <v>-21.169659704331643</v>
      </c>
      <c r="G185" s="31">
        <f>IF(AND(12*años+gracia-B184&gt;0,$L$2&lt;&gt;1),J184*E185,0)</f>
        <v>-11.317103057258791</v>
      </c>
      <c r="H185" s="31">
        <f>IF(AND(12*años+gracia-B184&gt;0,$L$2&lt;&gt;1),F185-G185,0)</f>
        <v>-9.8525566470728521</v>
      </c>
      <c r="I185" s="62"/>
      <c r="J185" s="61">
        <f>J184-H185-I185</f>
        <v>-3210.1796879724629</v>
      </c>
      <c r="K185" s="61">
        <f>K184*(1+$J$17)^(1/12)</f>
        <v>9689.7450790209696</v>
      </c>
      <c r="L185" s="31">
        <f t="shared" si="27"/>
        <v>16</v>
      </c>
      <c r="M185" s="31">
        <f t="shared" si="28"/>
        <v>-2.6666666666666661</v>
      </c>
      <c r="N185" s="31">
        <f t="shared" si="29"/>
        <v>-2.35</v>
      </c>
      <c r="O185" s="62"/>
      <c r="P185" s="31">
        <f>O185+N185+M185+L185+I185+F185</f>
        <v>-10.186326370998309</v>
      </c>
      <c r="Q185" s="31">
        <f>SUM($P$36:P185)</f>
        <v>-2011.9846710527615</v>
      </c>
      <c r="R185" s="83">
        <f t="shared" si="30"/>
        <v>-0.18029470451425725</v>
      </c>
      <c r="S185" s="31">
        <f>SUMPRODUCT($P$36:P185,$D$36:D185)/D185-Q185</f>
        <v>-950.3007028198947</v>
      </c>
      <c r="T185" s="31">
        <f t="shared" si="24"/>
        <v>4467.5807199957453</v>
      </c>
      <c r="U185" s="31">
        <f t="shared" si="25"/>
        <v>5088.8207199957451</v>
      </c>
      <c r="V185" s="80" cm="1">
        <f t="array" ref="V185">IF($L$2&lt;&gt;1,IRR(IF(ROW($P$36:P185)=ROW(P185),P185+K185+J185,$P$36:P185),V184/12)*12,0)</f>
        <v>0.13415223124121933</v>
      </c>
      <c r="W185" s="83">
        <f>(1+V185/12)^(B185)-1</f>
        <v>4.2408384692446592</v>
      </c>
    </row>
    <row r="186" spans="2:23" x14ac:dyDescent="0.25">
      <c r="B186" s="33">
        <v>150</v>
      </c>
      <c r="C186" s="105">
        <f t="shared" si="23"/>
        <v>3.9789301544717048E-3</v>
      </c>
      <c r="D186" s="106">
        <f t="shared" si="26"/>
        <v>0.5512012606902239</v>
      </c>
      <c r="E186" s="60">
        <f>rate</f>
        <v>3.5145930840192463E-3</v>
      </c>
      <c r="F186" s="31">
        <f>IF(AND(B185&gt;=gracia,12*años+gracia-B185&gt;0,$L$2&lt;&gt;1),PMT(E185,12*años-B185+gracia,-J185),0)</f>
        <v>-21.169659704331636</v>
      </c>
      <c r="G186" s="31">
        <f>IF(AND(12*años+gracia-B185&gt;0,$L$2&lt;&gt;1),J185*E186,0)</f>
        <v>-11.282475329807081</v>
      </c>
      <c r="H186" s="31">
        <f>IF(AND(12*años+gracia-B185&gt;0,$L$2&lt;&gt;1),F186-G186,0)</f>
        <v>-9.8871843745245549</v>
      </c>
      <c r="I186" s="62"/>
      <c r="J186" s="61">
        <f>J185-H186-I186</f>
        <v>-3200.2925035979383</v>
      </c>
      <c r="K186" s="61">
        <f>K185*(1+$J$17)^(1/12)</f>
        <v>9736.9104031583884</v>
      </c>
      <c r="L186" s="31">
        <f t="shared" si="27"/>
        <v>16</v>
      </c>
      <c r="M186" s="31">
        <f t="shared" si="28"/>
        <v>-2.6666666666666661</v>
      </c>
      <c r="N186" s="31">
        <f t="shared" si="29"/>
        <v>-2.35</v>
      </c>
      <c r="O186" s="62"/>
      <c r="P186" s="31">
        <f>O186+N186+M186+L186+I186+F186</f>
        <v>-10.186326370998302</v>
      </c>
      <c r="Q186" s="31">
        <f>SUM($P$36:P186)</f>
        <v>-2022.1709974237599</v>
      </c>
      <c r="R186" s="83">
        <f t="shared" si="30"/>
        <v>-0.18040448102810636</v>
      </c>
      <c r="S186" s="31">
        <f>SUMPRODUCT($P$36:P186,$D$36:D186)/D186-Q186</f>
        <v>-962.08742942014737</v>
      </c>
      <c r="T186" s="31">
        <f t="shared" si="24"/>
        <v>4514.4469021366904</v>
      </c>
      <c r="U186" s="31">
        <f t="shared" si="25"/>
        <v>5135.6869021366902</v>
      </c>
      <c r="V186" s="80" cm="1">
        <f t="array" ref="V186">IF($L$2&lt;&gt;1,IRR(IF(ROW($P$36:P186)=ROW(P186),P186+K186+J186,$P$36:P186),V185/12)*12,0)</f>
        <v>0.13374780999903901</v>
      </c>
      <c r="W186" s="83">
        <f>(1+V186/12)^(B186)-1</f>
        <v>4.2729994971457872</v>
      </c>
    </row>
    <row r="187" spans="2:23" x14ac:dyDescent="0.25">
      <c r="B187" s="33">
        <v>151</v>
      </c>
      <c r="C187" s="105">
        <f t="shared" si="23"/>
        <v>3.9789301544717048E-3</v>
      </c>
      <c r="D187" s="106">
        <f t="shared" si="26"/>
        <v>0.54901676134320498</v>
      </c>
      <c r="E187" s="60">
        <f>rate</f>
        <v>3.5145930840192463E-3</v>
      </c>
      <c r="F187" s="31">
        <f>IF(AND(B186&gt;=gracia,12*años+gracia-B186&gt;0,$L$2&lt;&gt;1),PMT(E186,12*años-B186+gracia,-J186),0)</f>
        <v>-21.169659704331639</v>
      </c>
      <c r="G187" s="31">
        <f>IF(AND(12*años+gracia-B186&gt;0,$L$2&lt;&gt;1),J186*E187,0)</f>
        <v>-11.247725899983953</v>
      </c>
      <c r="H187" s="31">
        <f>IF(AND(12*años+gracia-B186&gt;0,$L$2&lt;&gt;1),F187-G187,0)</f>
        <v>-9.9219338043476863</v>
      </c>
      <c r="I187" s="62"/>
      <c r="J187" s="61">
        <f>J186-H187-I187</f>
        <v>-3190.3705697935907</v>
      </c>
      <c r="K187" s="61">
        <f>K186*(1+$J$17)^(1/12)</f>
        <v>9784.3053068959762</v>
      </c>
      <c r="L187" s="31">
        <f t="shared" si="27"/>
        <v>16</v>
      </c>
      <c r="M187" s="31">
        <f t="shared" si="28"/>
        <v>-2.6666666666666661</v>
      </c>
      <c r="N187" s="31">
        <f t="shared" si="29"/>
        <v>-2.35</v>
      </c>
      <c r="O187" s="62"/>
      <c r="P187" s="31">
        <f>O187+N187+M187+L187+I187+F187</f>
        <v>-10.186326370998305</v>
      </c>
      <c r="Q187" s="31">
        <f>SUM($P$36:P187)</f>
        <v>-2032.3573237947583</v>
      </c>
      <c r="R187" s="83">
        <f t="shared" si="30"/>
        <v>-0.18051280354839455</v>
      </c>
      <c r="S187" s="31">
        <f>SUMPRODUCT($P$36:P187,$D$36:D187)/D187-Q187</f>
        <v>-973.96158526345312</v>
      </c>
      <c r="T187" s="31">
        <f t="shared" si="24"/>
        <v>4561.5774133076275</v>
      </c>
      <c r="U187" s="31">
        <f t="shared" si="25"/>
        <v>5182.8174133076272</v>
      </c>
      <c r="V187" s="80" cm="1">
        <f t="array" ref="V187">IF($L$2&lt;&gt;1,IRR(IF(ROW($P$36:P187)=ROW(P187),P187+K187+J187,$P$36:P187),V186/12)*12,0)</f>
        <v>0.13334711337586391</v>
      </c>
      <c r="W187" s="83">
        <f>(1+V187/12)^(B187)-1</f>
        <v>4.305249263389185</v>
      </c>
    </row>
    <row r="188" spans="2:23" x14ac:dyDescent="0.25">
      <c r="B188" s="33">
        <v>152</v>
      </c>
      <c r="C188" s="105">
        <f t="shared" si="23"/>
        <v>3.9789301544717048E-3</v>
      </c>
      <c r="D188" s="106">
        <f t="shared" si="26"/>
        <v>0.54684091951883251</v>
      </c>
      <c r="E188" s="60">
        <f>rate</f>
        <v>3.5145930840192463E-3</v>
      </c>
      <c r="F188" s="31">
        <f>IF(AND(B187&gt;=gracia,12*años+gracia-B187&gt;0,$L$2&lt;&gt;1),PMT(E187,12*años-B187+gracia,-J187),0)</f>
        <v>-21.169659704331639</v>
      </c>
      <c r="G188" s="31">
        <f>IF(AND(12*años+gracia-B187&gt;0,$L$2&lt;&gt;1),J187*E188,0)</f>
        <v>-11.212854340055095</v>
      </c>
      <c r="H188" s="31">
        <f>IF(AND(12*años+gracia-B187&gt;0,$L$2&lt;&gt;1),F188-G188,0)</f>
        <v>-9.9568053642765442</v>
      </c>
      <c r="I188" s="62"/>
      <c r="J188" s="61">
        <f>J187-H188-I188</f>
        <v>-3180.4137644293141</v>
      </c>
      <c r="K188" s="61">
        <f>K187*(1+$J$17)^(1/12)</f>
        <v>9831.9309077240468</v>
      </c>
      <c r="L188" s="31">
        <f t="shared" si="27"/>
        <v>16</v>
      </c>
      <c r="M188" s="31">
        <f t="shared" si="28"/>
        <v>-2.6666666666666661</v>
      </c>
      <c r="N188" s="31">
        <f t="shared" si="29"/>
        <v>-2.35</v>
      </c>
      <c r="O188" s="62"/>
      <c r="P188" s="31">
        <f>O188+N188+M188+L188+I188+F188</f>
        <v>-10.186326370998305</v>
      </c>
      <c r="Q188" s="31">
        <f>SUM($P$36:P188)</f>
        <v>-2042.5436501657566</v>
      </c>
      <c r="R188" s="83">
        <f t="shared" si="30"/>
        <v>-0.18061970077236317</v>
      </c>
      <c r="S188" s="31">
        <f>SUMPRODUCT($P$36:P188,$D$36:D188)/D188-Q188</f>
        <v>-985.92351822466321</v>
      </c>
      <c r="T188" s="31">
        <f t="shared" si="24"/>
        <v>4608.9734931289759</v>
      </c>
      <c r="U188" s="31">
        <f t="shared" si="25"/>
        <v>5230.2134931289756</v>
      </c>
      <c r="V188" s="80" cm="1">
        <f t="array" ref="V188">IF($L$2&lt;&gt;1,IRR(IF(ROW($P$36:P188)=ROW(P188),P188+K188+J188,$P$36:P188),V187/12)*12,0)</f>
        <v>0.13295009273715763</v>
      </c>
      <c r="W188" s="83">
        <f>(1+V188/12)^(B188)-1</f>
        <v>4.3375886563037032</v>
      </c>
    </row>
    <row r="189" spans="2:23" x14ac:dyDescent="0.25">
      <c r="B189" s="33">
        <v>153</v>
      </c>
      <c r="C189" s="105">
        <f t="shared" si="23"/>
        <v>3.9789301544717048E-3</v>
      </c>
      <c r="D189" s="106">
        <f t="shared" si="26"/>
        <v>0.54467370090595013</v>
      </c>
      <c r="E189" s="60">
        <f>rate</f>
        <v>3.5145930840192463E-3</v>
      </c>
      <c r="F189" s="31">
        <f>IF(AND(B188&gt;=gracia,12*años+gracia-B188&gt;0,$L$2&lt;&gt;1),PMT(E188,12*años-B188+gracia,-J188),0)</f>
        <v>-21.169659704331636</v>
      </c>
      <c r="G189" s="31">
        <f>IF(AND(12*años+gracia-B188&gt;0,$L$2&lt;&gt;1),J188*E189,0)</f>
        <v>-11.177860220782884</v>
      </c>
      <c r="H189" s="31">
        <f>IF(AND(12*años+gracia-B188&gt;0,$L$2&lt;&gt;1),F189-G189,0)</f>
        <v>-9.9917994835487516</v>
      </c>
      <c r="I189" s="62"/>
      <c r="J189" s="61">
        <f>J188-H189-I189</f>
        <v>-3170.4219649457655</v>
      </c>
      <c r="K189" s="61">
        <f>K188*(1+$J$17)^(1/12)</f>
        <v>9879.7883285723528</v>
      </c>
      <c r="L189" s="31">
        <f t="shared" si="27"/>
        <v>16</v>
      </c>
      <c r="M189" s="31">
        <f t="shared" si="28"/>
        <v>-2.6666666666666661</v>
      </c>
      <c r="N189" s="31">
        <f t="shared" si="29"/>
        <v>-2.35</v>
      </c>
      <c r="O189" s="62"/>
      <c r="P189" s="31">
        <f>O189+N189+M189+L189+I189+F189</f>
        <v>-10.186326370998302</v>
      </c>
      <c r="Q189" s="31">
        <f>SUM($P$36:P189)</f>
        <v>-2052.7299765367547</v>
      </c>
      <c r="R189" s="83">
        <f t="shared" si="30"/>
        <v>-0.18072520064699885</v>
      </c>
      <c r="S189" s="31">
        <f>SUMPRODUCT($P$36:P189,$D$36:D189)/D189-Q189</f>
        <v>-997.97357756279962</v>
      </c>
      <c r="T189" s="31">
        <f t="shared" si="24"/>
        <v>4656.6363870898331</v>
      </c>
      <c r="U189" s="31">
        <f t="shared" si="25"/>
        <v>5277.8763870898329</v>
      </c>
      <c r="V189" s="80" cm="1">
        <f t="array" ref="V189">IF($L$2&lt;&gt;1,IRR(IF(ROW($P$36:P189)=ROW(P189),P189+K189+J189,$P$36:P189),V188/12)*12,0)</f>
        <v>0.1325567002309711</v>
      </c>
      <c r="W189" s="83">
        <f>(1+V189/12)^(B189)-1</f>
        <v>4.3700185615033362</v>
      </c>
    </row>
    <row r="190" spans="2:23" x14ac:dyDescent="0.25">
      <c r="B190" s="33">
        <v>154</v>
      </c>
      <c r="C190" s="105">
        <f t="shared" si="23"/>
        <v>3.9789301544717048E-3</v>
      </c>
      <c r="D190" s="106">
        <f t="shared" si="26"/>
        <v>0.54251507132938226</v>
      </c>
      <c r="E190" s="60">
        <f>rate</f>
        <v>3.5145930840192463E-3</v>
      </c>
      <c r="F190" s="31">
        <f>IF(AND(B189&gt;=gracia,12*años+gracia-B189&gt;0,$L$2&lt;&gt;1),PMT(E189,12*años-B189+gracia,-J189),0)</f>
        <v>-21.169659704331639</v>
      </c>
      <c r="G190" s="31">
        <f>IF(AND(12*años+gracia-B189&gt;0,$L$2&lt;&gt;1),J189*E190,0)</f>
        <v>-11.142743111421098</v>
      </c>
      <c r="H190" s="31">
        <f>IF(AND(12*años+gracia-B189&gt;0,$L$2&lt;&gt;1),F190-G190,0)</f>
        <v>-10.026916592910542</v>
      </c>
      <c r="I190" s="62"/>
      <c r="J190" s="61">
        <f>J189-H190-I190</f>
        <v>-3160.3950483528547</v>
      </c>
      <c r="K190" s="61">
        <f>K189*(1+$J$17)^(1/12)</f>
        <v>9927.8786978365642</v>
      </c>
      <c r="L190" s="31">
        <f t="shared" si="27"/>
        <v>16</v>
      </c>
      <c r="M190" s="31">
        <f t="shared" si="28"/>
        <v>-2.6666666666666661</v>
      </c>
      <c r="N190" s="31">
        <f t="shared" si="29"/>
        <v>-2.35</v>
      </c>
      <c r="O190" s="62"/>
      <c r="P190" s="31">
        <f>O190+N190+M190+L190+I190+F190</f>
        <v>-10.186326370998305</v>
      </c>
      <c r="Q190" s="31">
        <f>SUM($P$36:P190)</f>
        <v>-2062.9163029077531</v>
      </c>
      <c r="R190" s="83">
        <f t="shared" si="30"/>
        <v>-0.18082933039339247</v>
      </c>
      <c r="S190" s="31">
        <f>SUMPRODUCT($P$36:P190,$D$36:D190)/D190-Q190</f>
        <v>-1010.1121139265606</v>
      </c>
      <c r="T190" s="31">
        <f t="shared" si="24"/>
        <v>4704.5673465759564</v>
      </c>
      <c r="U190" s="31">
        <f t="shared" si="25"/>
        <v>5325.8073465759562</v>
      </c>
      <c r="V190" s="80" cm="1">
        <f t="array" ref="V190">IF($L$2&lt;&gt;1,IRR(IF(ROW($P$36:P190)=ROW(P190),P190+K190+J190,$P$36:P190),V189/12)*12,0)</f>
        <v>0.13216688877477711</v>
      </c>
      <c r="W190" s="83">
        <f>(1+V190/12)^(B190)-1</f>
        <v>4.4025398620023246</v>
      </c>
    </row>
    <row r="191" spans="2:23" x14ac:dyDescent="0.25">
      <c r="B191" s="33">
        <v>155</v>
      </c>
      <c r="C191" s="105">
        <f t="shared" si="23"/>
        <v>3.9789301544717048E-3</v>
      </c>
      <c r="D191" s="106">
        <f t="shared" si="26"/>
        <v>0.54036499674939509</v>
      </c>
      <c r="E191" s="60">
        <f>rate</f>
        <v>3.5145930840192463E-3</v>
      </c>
      <c r="F191" s="31">
        <f>IF(AND(B190&gt;=gracia,12*años+gracia-B190&gt;0,$L$2&lt;&gt;1),PMT(E190,12*años-B190+gracia,-J190),0)</f>
        <v>-21.169659704331639</v>
      </c>
      <c r="G191" s="31">
        <f>IF(AND(12*años+gracia-B190&gt;0,$L$2&lt;&gt;1),J190*E191,0)</f>
        <v>-11.107502579709614</v>
      </c>
      <c r="H191" s="31">
        <f>IF(AND(12*años+gracia-B190&gt;0,$L$2&lt;&gt;1),F191-G191,0)</f>
        <v>-10.062157124622026</v>
      </c>
      <c r="I191" s="62"/>
      <c r="J191" s="61">
        <f>J190-H191-I191</f>
        <v>-3150.3328912282327</v>
      </c>
      <c r="K191" s="61">
        <f>K190*(1+$J$17)^(1/12)</f>
        <v>9976.2031494048751</v>
      </c>
      <c r="L191" s="31">
        <f t="shared" si="27"/>
        <v>16</v>
      </c>
      <c r="M191" s="31">
        <f t="shared" si="28"/>
        <v>-2.6666666666666661</v>
      </c>
      <c r="N191" s="31">
        <f t="shared" si="29"/>
        <v>-2.35</v>
      </c>
      <c r="O191" s="62"/>
      <c r="P191" s="31">
        <f>O191+N191+M191+L191+I191+F191</f>
        <v>-10.186326370998305</v>
      </c>
      <c r="Q191" s="31">
        <f>SUM($P$36:P191)</f>
        <v>-2073.1026292787515</v>
      </c>
      <c r="R191" s="83">
        <f t="shared" si="30"/>
        <v>-0.18093211653015528</v>
      </c>
      <c r="S191" s="31">
        <f>SUMPRODUCT($P$36:P191,$D$36:D191)/D191-Q191</f>
        <v>-1022.3394793598509</v>
      </c>
      <c r="T191" s="31">
        <f t="shared" si="24"/>
        <v>4752.767628897891</v>
      </c>
      <c r="U191" s="31">
        <f t="shared" si="25"/>
        <v>5374.0076288978908</v>
      </c>
      <c r="V191" s="80" cm="1">
        <f t="array" ref="V191">IF($L$2&lt;&gt;1,IRR(IF(ROW($P$36:P191)=ROW(P191),P191+K191+J191,$P$36:P191),V190/12)*12,0)</f>
        <v>0.13178061204234748</v>
      </c>
      <c r="W191" s="83">
        <f>(1+V191/12)^(B191)-1</f>
        <v>4.4351534383211861</v>
      </c>
    </row>
    <row r="192" spans="2:23" x14ac:dyDescent="0.25">
      <c r="B192" s="33">
        <v>156</v>
      </c>
      <c r="C192" s="105">
        <f t="shared" si="23"/>
        <v>3.9789301544717048E-3</v>
      </c>
      <c r="D192" s="106">
        <f t="shared" si="26"/>
        <v>0.53822344326115967</v>
      </c>
      <c r="E192" s="60">
        <f>rate</f>
        <v>3.5145930840192463E-3</v>
      </c>
      <c r="F192" s="31">
        <f>IF(AND(B191&gt;=gracia,12*años+gracia-B191&gt;0,$L$2&lt;&gt;1),PMT(E191,12*años-B191+gracia,-J191),0)</f>
        <v>-21.169659704331636</v>
      </c>
      <c r="G192" s="31">
        <f>IF(AND(12*años+gracia-B191&gt;0,$L$2&lt;&gt;1),J191*E192,0)</f>
        <v>-11.072138191869103</v>
      </c>
      <c r="H192" s="31">
        <f>IF(AND(12*años+gracia-B191&gt;0,$L$2&lt;&gt;1),F192-G192,0)</f>
        <v>-10.097521512462533</v>
      </c>
      <c r="I192" s="62"/>
      <c r="J192" s="61">
        <f>J191-H192-I192</f>
        <v>-3140.23536971577</v>
      </c>
      <c r="K192" s="61">
        <f>K191*(1+$J$17)^(1/12)</f>
        <v>10024.762822684737</v>
      </c>
      <c r="L192" s="31">
        <f t="shared" si="27"/>
        <v>16</v>
      </c>
      <c r="M192" s="31">
        <f t="shared" si="28"/>
        <v>-2.6666666666666661</v>
      </c>
      <c r="N192" s="31">
        <f t="shared" si="29"/>
        <v>-2.35</v>
      </c>
      <c r="O192" s="62"/>
      <c r="P192" s="31">
        <f>O192+N192+M192+L192+I192+F192</f>
        <v>-10.186326370998302</v>
      </c>
      <c r="Q192" s="31">
        <f>SUM($P$36:P192)</f>
        <v>-2083.2889556497498</v>
      </c>
      <c r="R192" s="83">
        <f t="shared" si="30"/>
        <v>-0.18103358489593391</v>
      </c>
      <c r="S192" s="31">
        <f>SUMPRODUCT($P$36:P192,$D$36:D192)/D192-Q192</f>
        <v>-1034.6560273073346</v>
      </c>
      <c r="T192" s="31">
        <f t="shared" si="24"/>
        <v>4801.2384973192175</v>
      </c>
      <c r="U192" s="31">
        <f t="shared" si="25"/>
        <v>5422.4784973192172</v>
      </c>
      <c r="V192" s="80" cm="1">
        <f t="array" ref="V192">IF($L$2&lt;&gt;1,IRR(IF(ROW($P$36:P192)=ROW(P192),P192+K192+J192,$P$36:P192),V191/12)*12,0)</f>
        <v>0.13139782445087267</v>
      </c>
      <c r="W192" s="83">
        <f>(1+V192/12)^(B192)-1</f>
        <v>4.4678601685973716</v>
      </c>
    </row>
    <row r="193" spans="2:23" x14ac:dyDescent="0.25">
      <c r="B193" s="33">
        <v>157</v>
      </c>
      <c r="C193" s="105">
        <f t="shared" si="23"/>
        <v>3.9789301544717048E-3</v>
      </c>
      <c r="D193" s="106">
        <f t="shared" si="26"/>
        <v>0.53609037709421736</v>
      </c>
      <c r="E193" s="60">
        <f>rate</f>
        <v>3.5145930840192463E-3</v>
      </c>
      <c r="F193" s="31">
        <f>IF(AND(B192&gt;=gracia,12*años+gracia-B192&gt;0,$L$2&lt;&gt;1),PMT(E192,12*años-B192+gracia,-J192),0)</f>
        <v>-21.169659704331636</v>
      </c>
      <c r="G193" s="31">
        <f>IF(AND(12*años+gracia-B192&gt;0,$L$2&lt;&gt;1),J192*E193,0)</f>
        <v>-11.036649512595666</v>
      </c>
      <c r="H193" s="31">
        <f>IF(AND(12*años+gracia-B192&gt;0,$L$2&lt;&gt;1),F193-G193,0)</f>
        <v>-10.13301019173597</v>
      </c>
      <c r="I193" s="62"/>
      <c r="J193" s="61">
        <f>J192-H193-I193</f>
        <v>-3130.102359524034</v>
      </c>
      <c r="K193" s="61">
        <f>K192*(1+$J$17)^(1/12)</f>
        <v>10073.558862629727</v>
      </c>
      <c r="L193" s="31">
        <f t="shared" si="27"/>
        <v>16</v>
      </c>
      <c r="M193" s="31">
        <f t="shared" si="28"/>
        <v>-2.6666666666666661</v>
      </c>
      <c r="N193" s="31">
        <f t="shared" si="29"/>
        <v>-2.35</v>
      </c>
      <c r="O193" s="62"/>
      <c r="P193" s="31">
        <f>O193+N193+M193+L193+I193+F193</f>
        <v>-10.186326370998302</v>
      </c>
      <c r="Q193" s="31">
        <f>SUM($P$36:P193)</f>
        <v>-2093.4752820207482</v>
      </c>
      <c r="R193" s="83">
        <f t="shared" si="30"/>
        <v>-0.18113376067106571</v>
      </c>
      <c r="S193" s="31">
        <f>SUMPRODUCT($P$36:P193,$D$36:D193)/D193-Q193</f>
        <v>-1047.0621126200067</v>
      </c>
      <c r="T193" s="31">
        <f t="shared" si="24"/>
        <v>4849.981221084945</v>
      </c>
      <c r="U193" s="31">
        <f t="shared" si="25"/>
        <v>5471.2212210849448</v>
      </c>
      <c r="V193" s="80" cm="1">
        <f t="array" ref="V193">IF($L$2&lt;&gt;1,IRR(IF(ROW($P$36:P193)=ROW(P193),P193+K193+J193,$P$36:P193),V192/12)*12,0)</f>
        <v>0.1310184811481534</v>
      </c>
      <c r="W193" s="83">
        <f>(1+V193/12)^(B193)-1</f>
        <v>4.5006609286876174</v>
      </c>
    </row>
    <row r="194" spans="2:23" x14ac:dyDescent="0.25">
      <c r="B194" s="33">
        <v>158</v>
      </c>
      <c r="C194" s="105">
        <f t="shared" si="23"/>
        <v>3.9789301544717048E-3</v>
      </c>
      <c r="D194" s="106">
        <f t="shared" si="26"/>
        <v>0.53396576461194734</v>
      </c>
      <c r="E194" s="60">
        <f>rate</f>
        <v>3.5145930840192463E-3</v>
      </c>
      <c r="F194" s="31">
        <f>IF(AND(B193&gt;=gracia,12*años+gracia-B193&gt;0,$L$2&lt;&gt;1),PMT(E193,12*años-B193+gracia,-J193),0)</f>
        <v>-21.169659704331636</v>
      </c>
      <c r="G194" s="31">
        <f>IF(AND(12*años+gracia-B193&gt;0,$L$2&lt;&gt;1),J193*E194,0)</f>
        <v>-11.001036105055494</v>
      </c>
      <c r="H194" s="31">
        <f>IF(AND(12*años+gracia-B193&gt;0,$L$2&lt;&gt;1),F194-G194,0)</f>
        <v>-10.168623599276142</v>
      </c>
      <c r="I194" s="62"/>
      <c r="J194" s="61">
        <f>J193-H194-I194</f>
        <v>-3119.9337359247579</v>
      </c>
      <c r="K194" s="61">
        <f>K193*(1+$J$17)^(1/12)</f>
        <v>10122.592419766537</v>
      </c>
      <c r="L194" s="31">
        <f t="shared" si="27"/>
        <v>16</v>
      </c>
      <c r="M194" s="31">
        <f t="shared" si="28"/>
        <v>-2.6666666666666661</v>
      </c>
      <c r="N194" s="31">
        <f t="shared" si="29"/>
        <v>-2.35</v>
      </c>
      <c r="O194" s="62"/>
      <c r="P194" s="31">
        <f>O194+N194+M194+L194+I194+F194</f>
        <v>-10.186326370998302</v>
      </c>
      <c r="Q194" s="31">
        <f>SUM($P$36:P194)</f>
        <v>-2103.6616083917465</v>
      </c>
      <c r="R194" s="83">
        <f t="shared" si="30"/>
        <v>-0.18123266839841101</v>
      </c>
      <c r="S194" s="31">
        <f>SUMPRODUCT($P$36:P194,$D$36:D194)/D194-Q194</f>
        <v>-1059.5580915607884</v>
      </c>
      <c r="T194" s="31">
        <f t="shared" si="24"/>
        <v>4898.9970754500328</v>
      </c>
      <c r="U194" s="31">
        <f t="shared" si="25"/>
        <v>5520.2370754500325</v>
      </c>
      <c r="V194" s="80" cm="1">
        <f t="array" ref="V194">IF($L$2&lt;&gt;1,IRR(IF(ROW($P$36:P194)=ROW(P194),P194+K194+J194,$P$36:P194),V193/12)*12,0)</f>
        <v>0.13064253800000802</v>
      </c>
      <c r="W194" s="83">
        <f>(1+V194/12)^(B194)-1</f>
        <v>4.5335565922721841</v>
      </c>
    </row>
    <row r="195" spans="2:23" x14ac:dyDescent="0.25">
      <c r="B195" s="33">
        <v>159</v>
      </c>
      <c r="C195" s="105">
        <f t="shared" si="23"/>
        <v>3.9789301544717048E-3</v>
      </c>
      <c r="D195" s="106">
        <f t="shared" si="26"/>
        <v>0.53184957231103602</v>
      </c>
      <c r="E195" s="60">
        <f>rate</f>
        <v>3.5145930840192463E-3</v>
      </c>
      <c r="F195" s="31">
        <f>IF(AND(B194&gt;=gracia,12*años+gracia-B194&gt;0,$L$2&lt;&gt;1),PMT(E194,12*años-B194+gracia,-J194),0)</f>
        <v>-21.169659704331636</v>
      </c>
      <c r="G195" s="31">
        <f>IF(AND(12*años+gracia-B194&gt;0,$L$2&lt;&gt;1),J194*E195,0)</f>
        <v>-10.965297530879484</v>
      </c>
      <c r="H195" s="31">
        <f>IF(AND(12*años+gracia-B194&gt;0,$L$2&lt;&gt;1),F195-G195,0)</f>
        <v>-10.204362173452152</v>
      </c>
      <c r="I195" s="62"/>
      <c r="J195" s="61">
        <f>J194-H195-I195</f>
        <v>-3109.729373751306</v>
      </c>
      <c r="K195" s="61">
        <f>K194*(1+$J$17)^(1/12)</f>
        <v>10171.864650222109</v>
      </c>
      <c r="L195" s="31">
        <f t="shared" si="27"/>
        <v>16</v>
      </c>
      <c r="M195" s="31">
        <f t="shared" si="28"/>
        <v>-2.6666666666666661</v>
      </c>
      <c r="N195" s="31">
        <f t="shared" si="29"/>
        <v>-2.35</v>
      </c>
      <c r="O195" s="62"/>
      <c r="P195" s="31">
        <f>O195+N195+M195+L195+I195+F195</f>
        <v>-10.186326370998302</v>
      </c>
      <c r="Q195" s="31">
        <f>SUM($P$36:P195)</f>
        <v>-2113.8479347627449</v>
      </c>
      <c r="R195" s="83">
        <f t="shared" si="30"/>
        <v>-0.18133033200339976</v>
      </c>
      <c r="S195" s="31">
        <f>SUMPRODUCT($P$36:P195,$D$36:D195)/D195-Q195</f>
        <v>-1072.144321810149</v>
      </c>
      <c r="T195" s="31">
        <f t="shared" si="24"/>
        <v>4948.2873417080582</v>
      </c>
      <c r="U195" s="31">
        <f t="shared" si="25"/>
        <v>5569.527341708058</v>
      </c>
      <c r="V195" s="80" cm="1">
        <f t="array" ref="V195">IF($L$2&lt;&gt;1,IRR(IF(ROW($P$36:P195)=ROW(P195),P195+K195+J195,$P$36:P195),V194/12)*12,0)</f>
        <v>0.1302699515778265</v>
      </c>
      <c r="W195" s="83">
        <f>(1+V195/12)^(B195)-1</f>
        <v>4.5665480309562385</v>
      </c>
    </row>
    <row r="196" spans="2:23" x14ac:dyDescent="0.25">
      <c r="B196" s="33">
        <v>160</v>
      </c>
      <c r="C196" s="105">
        <f t="shared" si="23"/>
        <v>3.9789301544717048E-3</v>
      </c>
      <c r="D196" s="106">
        <f t="shared" si="26"/>
        <v>0.52974176682094898</v>
      </c>
      <c r="E196" s="60">
        <f>rate</f>
        <v>3.5145930840192463E-3</v>
      </c>
      <c r="F196" s="31">
        <f>IF(AND(B195&gt;=gracia,12*años+gracia-B195&gt;0,$L$2&lt;&gt;1),PMT(E195,12*años-B195+gracia,-J195),0)</f>
        <v>-21.169659704331636</v>
      </c>
      <c r="G196" s="31">
        <f>IF(AND(12*años+gracia-B195&gt;0,$L$2&lt;&gt;1),J195*E196,0)</f>
        <v>-10.929433350157842</v>
      </c>
      <c r="H196" s="31">
        <f>IF(AND(12*años+gracia-B195&gt;0,$L$2&lt;&gt;1),F196-G196,0)</f>
        <v>-10.240226354173794</v>
      </c>
      <c r="I196" s="62"/>
      <c r="J196" s="61">
        <f>J195-H196-I196</f>
        <v>-3099.489147397132</v>
      </c>
      <c r="K196" s="61">
        <f>K195*(1+$J$17)^(1/12)</f>
        <v>10221.37671575089</v>
      </c>
      <c r="L196" s="31">
        <f t="shared" si="27"/>
        <v>16</v>
      </c>
      <c r="M196" s="31">
        <f t="shared" si="28"/>
        <v>-2.6666666666666661</v>
      </c>
      <c r="N196" s="31">
        <f t="shared" si="29"/>
        <v>-2.35</v>
      </c>
      <c r="O196" s="62"/>
      <c r="P196" s="31">
        <f>O196+N196+M196+L196+I196+F196</f>
        <v>-10.186326370998302</v>
      </c>
      <c r="Q196" s="31">
        <f>SUM($P$36:P196)</f>
        <v>-2124.0342611337433</v>
      </c>
      <c r="R196" s="83">
        <f t="shared" si="30"/>
        <v>-0.18142677481332614</v>
      </c>
      <c r="S196" s="31">
        <f>SUMPRODUCT($P$36:P196,$D$36:D196)/D196-Q196</f>
        <v>-1084.8211624717405</v>
      </c>
      <c r="T196" s="31">
        <f t="shared" si="24"/>
        <v>4997.8533072200153</v>
      </c>
      <c r="U196" s="31">
        <f t="shared" si="25"/>
        <v>5619.093307220015</v>
      </c>
      <c r="V196" s="80" cm="1">
        <f t="array" ref="V196">IF($L$2&lt;&gt;1,IRR(IF(ROW($P$36:P196)=ROW(P196),P196+K196+J196,$P$36:P196),V195/12)*12,0)</f>
        <v>0.12990067914628423</v>
      </c>
      <c r="W196" s="83">
        <f>(1+V196/12)^(B196)-1</f>
        <v>4.5996361143681321</v>
      </c>
    </row>
    <row r="197" spans="2:23" x14ac:dyDescent="0.25">
      <c r="B197" s="33">
        <v>161</v>
      </c>
      <c r="C197" s="105">
        <f t="shared" si="23"/>
        <v>3.9789301544717048E-3</v>
      </c>
      <c r="D197" s="106">
        <f t="shared" si="26"/>
        <v>0.52764231490340452</v>
      </c>
      <c r="E197" s="60">
        <f>rate</f>
        <v>3.5145930840192463E-3</v>
      </c>
      <c r="F197" s="31">
        <f>IF(AND(B196&gt;=gracia,12*años+gracia-B196&gt;0,$L$2&lt;&gt;1),PMT(E196,12*años-B196+gracia,-J196),0)</f>
        <v>-21.169659704331639</v>
      </c>
      <c r="G197" s="31">
        <f>IF(AND(12*años+gracia-B196&gt;0,$L$2&lt;&gt;1),J196*E197,0)</f>
        <v>-10.89344312143467</v>
      </c>
      <c r="H197" s="31">
        <f>IF(AND(12*años+gracia-B196&gt;0,$L$2&lt;&gt;1),F197-G197,0)</f>
        <v>-10.27621658289697</v>
      </c>
      <c r="I197" s="62"/>
      <c r="J197" s="61">
        <f>J196-H197-I197</f>
        <v>-3089.2129308142348</v>
      </c>
      <c r="K197" s="61">
        <f>K196*(1+$J$17)^(1/12)</f>
        <v>10271.129783762228</v>
      </c>
      <c r="L197" s="31">
        <f t="shared" si="27"/>
        <v>16</v>
      </c>
      <c r="M197" s="31">
        <f t="shared" si="28"/>
        <v>-2.6666666666666661</v>
      </c>
      <c r="N197" s="31">
        <f t="shared" si="29"/>
        <v>-2.35</v>
      </c>
      <c r="O197" s="62"/>
      <c r="P197" s="31">
        <f>O197+N197+M197+L197+I197+F197</f>
        <v>-10.186326370998305</v>
      </c>
      <c r="Q197" s="31">
        <f>SUM($P$36:P197)</f>
        <v>-2134.2205875047416</v>
      </c>
      <c r="R197" s="83">
        <f t="shared" si="30"/>
        <v>-0.18152201957592429</v>
      </c>
      <c r="S197" s="31">
        <f>SUMPRODUCT($P$36:P197,$D$36:D197)/D197-Q197</f>
        <v>-1097.5889740780649</v>
      </c>
      <c r="T197" s="31">
        <f t="shared" si="24"/>
        <v>5047.6962654432518</v>
      </c>
      <c r="U197" s="31">
        <f t="shared" si="25"/>
        <v>5668.9362654432516</v>
      </c>
      <c r="V197" s="80" cm="1">
        <f t="array" ref="V197">IF($L$2&lt;&gt;1,IRR(IF(ROW($P$36:P197)=ROW(P197),P197+K197+J197,$P$36:P197),V196/12)*12,0)</f>
        <v>0.12953467865122903</v>
      </c>
      <c r="W197" s="83">
        <f>(1+V197/12)^(B197)-1</f>
        <v>4.6328217102563576</v>
      </c>
    </row>
    <row r="198" spans="2:23" x14ac:dyDescent="0.25">
      <c r="B198" s="33">
        <v>162</v>
      </c>
      <c r="C198" s="105">
        <f t="shared" si="23"/>
        <v>3.9789301544717048E-3</v>
      </c>
      <c r="D198" s="106">
        <f t="shared" si="26"/>
        <v>0.5255511834518497</v>
      </c>
      <c r="E198" s="60">
        <f>rate</f>
        <v>3.5145930840192463E-3</v>
      </c>
      <c r="F198" s="31">
        <f>IF(AND(B197&gt;=gracia,12*años+gracia-B197&gt;0,$L$2&lt;&gt;1),PMT(E197,12*años-B197+gracia,-J197),0)</f>
        <v>-21.169659704331636</v>
      </c>
      <c r="G198" s="31">
        <f>IF(AND(12*años+gracia-B197&gt;0,$L$2&lt;&gt;1),J197*E198,0)</f>
        <v>-10.857326401702537</v>
      </c>
      <c r="H198" s="31">
        <f>IF(AND(12*años+gracia-B197&gt;0,$L$2&lt;&gt;1),F198-G198,0)</f>
        <v>-10.312333302629099</v>
      </c>
      <c r="I198" s="62"/>
      <c r="J198" s="61">
        <f>J197-H198-I198</f>
        <v>-3078.9005975116056</v>
      </c>
      <c r="K198" s="61">
        <f>K197*(1+$J$17)^(1/12)</f>
        <v>10321.125027347891</v>
      </c>
      <c r="L198" s="31">
        <f t="shared" si="27"/>
        <v>16</v>
      </c>
      <c r="M198" s="31">
        <f t="shared" si="28"/>
        <v>-2.6666666666666661</v>
      </c>
      <c r="N198" s="31">
        <f t="shared" si="29"/>
        <v>-2.35</v>
      </c>
      <c r="O198" s="62"/>
      <c r="P198" s="31">
        <f>O198+N198+M198+L198+I198+F198</f>
        <v>-10.186326370998302</v>
      </c>
      <c r="Q198" s="31">
        <f>SUM($P$36:P198)</f>
        <v>-2144.40691387574</v>
      </c>
      <c r="R198" s="83">
        <f t="shared" si="30"/>
        <v>-0.18161608847725577</v>
      </c>
      <c r="S198" s="31">
        <f>SUMPRODUCT($P$36:P198,$D$36:D198)/D198-Q198</f>
        <v>-1110.4481185961563</v>
      </c>
      <c r="T198" s="31">
        <f t="shared" si="24"/>
        <v>5097.8175159605453</v>
      </c>
      <c r="U198" s="31">
        <f t="shared" si="25"/>
        <v>5719.0575159605451</v>
      </c>
      <c r="V198" s="80" cm="1">
        <f t="array" ref="V198">IF($L$2&lt;&gt;1,IRR(IF(ROW($P$36:P198)=ROW(P198),P198+K198+J198,$P$36:P198),V197/12)*12,0)</f>
        <v>0.12917190870775208</v>
      </c>
      <c r="W198" s="83">
        <f>(1+V198/12)^(B198)-1</f>
        <v>4.666105684584978</v>
      </c>
    </row>
    <row r="199" spans="2:23" x14ac:dyDescent="0.25">
      <c r="B199" s="33">
        <v>163</v>
      </c>
      <c r="C199" s="105">
        <f t="shared" si="23"/>
        <v>3.9789301544717048E-3</v>
      </c>
      <c r="D199" s="106">
        <f t="shared" si="26"/>
        <v>0.52346833949093796</v>
      </c>
      <c r="E199" s="60">
        <f>rate</f>
        <v>3.5145930840192463E-3</v>
      </c>
      <c r="F199" s="31">
        <f>IF(AND(B198&gt;=gracia,12*años+gracia-B198&gt;0,$L$2&lt;&gt;1),PMT(E198,12*años-B198+gracia,-J198),0)</f>
        <v>-21.169659704331629</v>
      </c>
      <c r="G199" s="31">
        <f>IF(AND(12*años+gracia-B198&gt;0,$L$2&lt;&gt;1),J198*E199,0)</f>
        <v>-10.821082746397014</v>
      </c>
      <c r="H199" s="31">
        <f>IF(AND(12*años+gracia-B198&gt;0,$L$2&lt;&gt;1),F199-G199,0)</f>
        <v>-10.348576957934615</v>
      </c>
      <c r="I199" s="62"/>
      <c r="J199" s="61">
        <f>J198-H199-I199</f>
        <v>-3068.5520205536709</v>
      </c>
      <c r="K199" s="61">
        <f>K198*(1+$J$17)^(1/12)</f>
        <v>10371.363625309734</v>
      </c>
      <c r="L199" s="31">
        <f t="shared" si="27"/>
        <v>16</v>
      </c>
      <c r="M199" s="31">
        <f t="shared" si="28"/>
        <v>-2.6666666666666661</v>
      </c>
      <c r="N199" s="31">
        <f t="shared" si="29"/>
        <v>-2.35</v>
      </c>
      <c r="O199" s="62"/>
      <c r="P199" s="31">
        <f>O199+N199+M199+L199+I199+F199</f>
        <v>-10.186326370998295</v>
      </c>
      <c r="Q199" s="31">
        <f>SUM($P$36:P199)</f>
        <v>-2154.5932402467383</v>
      </c>
      <c r="R199" s="83">
        <f t="shared" si="30"/>
        <v>-0.18170900315893898</v>
      </c>
      <c r="S199" s="31">
        <f>SUMPRODUCT($P$36:P199,$D$36:D199)/D199-Q199</f>
        <v>-1123.3989594332929</v>
      </c>
      <c r="T199" s="31">
        <f t="shared" si="24"/>
        <v>5148.2183645093246</v>
      </c>
      <c r="U199" s="31">
        <f t="shared" si="25"/>
        <v>5769.4583645093244</v>
      </c>
      <c r="V199" s="80" cm="1">
        <f t="array" ref="V199">IF($L$2&lt;&gt;1,IRR(IF(ROW($P$36:P199)=ROW(P199),P199+K199+J199,$P$36:P199),V198/12)*12,0)</f>
        <v>0.12881232858841862</v>
      </c>
      <c r="W199" s="83">
        <f>(1+V199/12)^(B199)-1</f>
        <v>4.6994889016269088</v>
      </c>
    </row>
    <row r="200" spans="2:23" x14ac:dyDescent="0.25">
      <c r="B200" s="33">
        <v>164</v>
      </c>
      <c r="C200" s="105">
        <f t="shared" si="23"/>
        <v>3.9789301544717048E-3</v>
      </c>
      <c r="D200" s="106">
        <f t="shared" si="26"/>
        <v>0.52139375017600953</v>
      </c>
      <c r="E200" s="60">
        <f>rate</f>
        <v>3.5145930840192463E-3</v>
      </c>
      <c r="F200" s="31">
        <f>IF(AND(B199&gt;=gracia,12*años+gracia-B199&gt;0,$L$2&lt;&gt;1),PMT(E199,12*años-B199+gracia,-J199),0)</f>
        <v>-21.169659704331632</v>
      </c>
      <c r="G200" s="31">
        <f>IF(AND(12*años+gracia-B199&gt;0,$L$2&lt;&gt;1),J199*E200,0)</f>
        <v>-10.784711709391216</v>
      </c>
      <c r="H200" s="31">
        <f>IF(AND(12*años+gracia-B199&gt;0,$L$2&lt;&gt;1),F200-G200,0)</f>
        <v>-10.384947994940417</v>
      </c>
      <c r="I200" s="62"/>
      <c r="J200" s="61">
        <f>J199-H200-I200</f>
        <v>-3058.1670725587305</v>
      </c>
      <c r="K200" s="61">
        <f>K199*(1+$J$17)^(1/12)</f>
        <v>10421.846762187488</v>
      </c>
      <c r="L200" s="31">
        <f t="shared" si="27"/>
        <v>16</v>
      </c>
      <c r="M200" s="31">
        <f t="shared" si="28"/>
        <v>-2.6666666666666661</v>
      </c>
      <c r="N200" s="31">
        <f t="shared" si="29"/>
        <v>-2.35</v>
      </c>
      <c r="O200" s="62"/>
      <c r="P200" s="31">
        <f>O200+N200+M200+L200+I200+F200</f>
        <v>-10.186326370998298</v>
      </c>
      <c r="Q200" s="31">
        <f>SUM($P$36:P200)</f>
        <v>-2164.7795666177367</v>
      </c>
      <c r="R200" s="83">
        <f t="shared" si="30"/>
        <v>-0.18180078473474806</v>
      </c>
      <c r="S200" s="31">
        <f>SUMPRODUCT($P$36:P200,$D$36:D200)/D200-Q200</f>
        <v>-1136.4418614427227</v>
      </c>
      <c r="T200" s="31">
        <f t="shared" si="24"/>
        <v>5198.9001230110207</v>
      </c>
      <c r="U200" s="31">
        <f t="shared" si="25"/>
        <v>5820.1401230110205</v>
      </c>
      <c r="V200" s="80" cm="1">
        <f t="array" ref="V200">IF($L$2&lt;&gt;1,IRR(IF(ROW($P$36:P200)=ROW(P200),P200+K200+J200,$P$36:P200),V199/12)*12,0)</f>
        <v>0.12845589821170122</v>
      </c>
      <c r="W200" s="83">
        <f>(1+V200/12)^(B200)-1</f>
        <v>4.7329722240559811</v>
      </c>
    </row>
    <row r="201" spans="2:23" x14ac:dyDescent="0.25">
      <c r="B201" s="33">
        <v>165</v>
      </c>
      <c r="C201" s="105">
        <f t="shared" si="23"/>
        <v>3.9789301544717048E-3</v>
      </c>
      <c r="D201" s="106">
        <f t="shared" si="26"/>
        <v>0.51932738279257329</v>
      </c>
      <c r="E201" s="60">
        <f>rate</f>
        <v>3.5145930840192463E-3</v>
      </c>
      <c r="F201" s="31">
        <f>IF(AND(B200&gt;=gracia,12*años+gracia-B200&gt;0,$L$2&lt;&gt;1),PMT(E200,12*años-B200+gracia,-J200),0)</f>
        <v>-21.169659704331636</v>
      </c>
      <c r="G201" s="31">
        <f>IF(AND(12*años+gracia-B200&gt;0,$L$2&lt;&gt;1),J200*E201,0)</f>
        <v>-10.748212842990299</v>
      </c>
      <c r="H201" s="31">
        <f>IF(AND(12*años+gracia-B200&gt;0,$L$2&lt;&gt;1),F201-G201,0)</f>
        <v>-10.421446861341337</v>
      </c>
      <c r="I201" s="62"/>
      <c r="J201" s="61">
        <f>J200-H201-I201</f>
        <v>-3047.7456256973892</v>
      </c>
      <c r="K201" s="61">
        <f>K200*(1+$J$17)^(1/12)</f>
        <v>10472.575628286691</v>
      </c>
      <c r="L201" s="31">
        <f t="shared" si="27"/>
        <v>16</v>
      </c>
      <c r="M201" s="31">
        <f t="shared" si="28"/>
        <v>-2.6666666666666661</v>
      </c>
      <c r="N201" s="31">
        <f t="shared" si="29"/>
        <v>-2.35</v>
      </c>
      <c r="O201" s="62"/>
      <c r="P201" s="31">
        <f>O201+N201+M201+L201+I201+F201</f>
        <v>-10.186326370998302</v>
      </c>
      <c r="Q201" s="31">
        <f>SUM($P$36:P201)</f>
        <v>-2174.965892988735</v>
      </c>
      <c r="R201" s="83">
        <f t="shared" si="30"/>
        <v>-0.18189145380660793</v>
      </c>
      <c r="S201" s="31">
        <f>SUMPRODUCT($P$36:P201,$D$36:D201)/D201-Q201</f>
        <v>-1149.5771909294208</v>
      </c>
      <c r="T201" s="31">
        <f t="shared" si="24"/>
        <v>5249.8641096005667</v>
      </c>
      <c r="U201" s="31">
        <f t="shared" si="25"/>
        <v>5871.1041096005665</v>
      </c>
      <c r="V201" s="80" cm="1">
        <f t="array" ref="V201">IF($L$2&lt;&gt;1,IRR(IF(ROW($P$36:P201)=ROW(P201),P201+K201+J201,$P$36:P201),V200/12)*12,0)</f>
        <v>0.1281025781305436</v>
      </c>
      <c r="W201" s="83">
        <f>(1+V201/12)^(B201)-1</f>
        <v>4.7665565130351863</v>
      </c>
    </row>
    <row r="202" spans="2:23" x14ac:dyDescent="0.25">
      <c r="B202" s="33">
        <v>166</v>
      </c>
      <c r="C202" s="105">
        <f t="shared" si="23"/>
        <v>3.9789301544717048E-3</v>
      </c>
      <c r="D202" s="106">
        <f t="shared" si="26"/>
        <v>0.51726920475579086</v>
      </c>
      <c r="E202" s="60">
        <f>rate</f>
        <v>3.5145930840192463E-3</v>
      </c>
      <c r="F202" s="31">
        <f>IF(AND(B201&gt;=gracia,12*años+gracia-B201&gt;0,$L$2&lt;&gt;1),PMT(E201,12*años-B201+gracia,-J201),0)</f>
        <v>-21.169659704331632</v>
      </c>
      <c r="G202" s="31">
        <f>IF(AND(12*años+gracia-B201&gt;0,$L$2&lt;&gt;1),J201*E202,0)</f>
        <v>-10.711585697925955</v>
      </c>
      <c r="H202" s="31">
        <f>IF(AND(12*años+gracia-B201&gt;0,$L$2&lt;&gt;1),F202-G202,0)</f>
        <v>-10.458074006405678</v>
      </c>
      <c r="I202" s="62"/>
      <c r="J202" s="61">
        <f>J201-H202-I202</f>
        <v>-3037.2875516909835</v>
      </c>
      <c r="K202" s="61">
        <f>K201*(1+$J$17)^(1/12)</f>
        <v>10523.551419706757</v>
      </c>
      <c r="L202" s="31">
        <f t="shared" si="27"/>
        <v>16</v>
      </c>
      <c r="M202" s="31">
        <f t="shared" si="28"/>
        <v>-2.6666666666666661</v>
      </c>
      <c r="N202" s="31">
        <f t="shared" si="29"/>
        <v>-2.35</v>
      </c>
      <c r="O202" s="62"/>
      <c r="P202" s="31">
        <f>O202+N202+M202+L202+I202+F202</f>
        <v>-10.186326370998298</v>
      </c>
      <c r="Q202" s="31">
        <f>SUM($P$36:P202)</f>
        <v>-2185.1522193597334</v>
      </c>
      <c r="R202" s="83">
        <f t="shared" si="30"/>
        <v>-0.18198103048001163</v>
      </c>
      <c r="S202" s="31">
        <f>SUMPRODUCT($P$36:P202,$D$36:D202)/D202-Q202</f>
        <v>-1162.8053156558631</v>
      </c>
      <c r="T202" s="31">
        <f t="shared" si="24"/>
        <v>5301.1116486560404</v>
      </c>
      <c r="U202" s="31">
        <f t="shared" si="25"/>
        <v>5922.3516486560402</v>
      </c>
      <c r="V202" s="80" cm="1">
        <f t="array" ref="V202">IF($L$2&lt;&gt;1,IRR(IF(ROW($P$36:P202)=ROW(P202),P202+K202+J202,$P$36:P202),V201/12)*12,0)</f>
        <v>0.12775232952115889</v>
      </c>
      <c r="W202" s="83">
        <f>(1+V202/12)^(B202)-1</f>
        <v>4.8002426283061848</v>
      </c>
    </row>
    <row r="203" spans="2:23" x14ac:dyDescent="0.25">
      <c r="B203" s="33">
        <v>167</v>
      </c>
      <c r="C203" s="105">
        <f t="shared" si="23"/>
        <v>3.9789301544717048E-3</v>
      </c>
      <c r="D203" s="106">
        <f t="shared" si="26"/>
        <v>0.51521918360996288</v>
      </c>
      <c r="E203" s="60">
        <f>rate</f>
        <v>3.5145930840192463E-3</v>
      </c>
      <c r="F203" s="31">
        <f>IF(AND(B202&gt;=gracia,12*años+gracia-B202&gt;0,$L$2&lt;&gt;1),PMT(E202,12*años-B202+gracia,-J202),0)</f>
        <v>-21.169659704331632</v>
      </c>
      <c r="G203" s="31">
        <f>IF(AND(12*años+gracia-B202&gt;0,$L$2&lt;&gt;1),J202*E203,0)</f>
        <v>-10.67482982335088</v>
      </c>
      <c r="H203" s="31">
        <f>IF(AND(12*años+gracia-B202&gt;0,$L$2&lt;&gt;1),F203-G203,0)</f>
        <v>-10.494829880980753</v>
      </c>
      <c r="I203" s="62"/>
      <c r="J203" s="61">
        <f>J202-H203-I203</f>
        <v>-3026.7927218100026</v>
      </c>
      <c r="K203" s="61">
        <f>K202*(1+$J$17)^(1/12)</f>
        <v>10574.775338369167</v>
      </c>
      <c r="L203" s="31">
        <f t="shared" si="27"/>
        <v>16</v>
      </c>
      <c r="M203" s="31">
        <f t="shared" si="28"/>
        <v>-2.6666666666666661</v>
      </c>
      <c r="N203" s="31">
        <f t="shared" si="29"/>
        <v>-2.35</v>
      </c>
      <c r="O203" s="62"/>
      <c r="P203" s="31">
        <f>O203+N203+M203+L203+I203+F203</f>
        <v>-10.186326370998298</v>
      </c>
      <c r="Q203" s="31">
        <f>SUM($P$36:P203)</f>
        <v>-2195.3385457307318</v>
      </c>
      <c r="R203" s="83">
        <f t="shared" si="30"/>
        <v>-0.18206953437888354</v>
      </c>
      <c r="S203" s="31">
        <f>SUMPRODUCT($P$36:P203,$D$36:D203)/D203-Q203</f>
        <v>-1176.1266048478274</v>
      </c>
      <c r="T203" s="31">
        <f t="shared" si="24"/>
        <v>5352.6440708284326</v>
      </c>
      <c r="U203" s="31">
        <f t="shared" si="25"/>
        <v>5973.8840708284324</v>
      </c>
      <c r="V203" s="80" cm="1">
        <f t="array" ref="V203">IF($L$2&lt;&gt;1,IRR(IF(ROW($P$36:P203)=ROW(P203),P203+K203+J203,$P$36:P203),V202/12)*12,0)</f>
        <v>0.12740511417197187</v>
      </c>
      <c r="W203" s="83">
        <f>(1+V203/12)^(B203)-1</f>
        <v>4.8340314282758126</v>
      </c>
    </row>
    <row r="204" spans="2:23" x14ac:dyDescent="0.25">
      <c r="B204" s="33">
        <v>168</v>
      </c>
      <c r="C204" s="105">
        <f t="shared" si="23"/>
        <v>3.9789301544717048E-3</v>
      </c>
      <c r="D204" s="106">
        <f t="shared" si="26"/>
        <v>0.51317728702801713</v>
      </c>
      <c r="E204" s="60">
        <f>rate</f>
        <v>3.5145930840192463E-3</v>
      </c>
      <c r="F204" s="31">
        <f>IF(AND(B203&gt;=gracia,12*años+gracia-B203&gt;0,$L$2&lt;&gt;1),PMT(E203,12*años-B203+gracia,-J203),0)</f>
        <v>-21.169659704331636</v>
      </c>
      <c r="G204" s="31">
        <f>IF(AND(12*años+gracia-B203&gt;0,$L$2&lt;&gt;1),J203*E204,0)</f>
        <v>-10.637944766833225</v>
      </c>
      <c r="H204" s="31">
        <f>IF(AND(12*años+gracia-B203&gt;0,$L$2&lt;&gt;1),F204-G204,0)</f>
        <v>-10.53171493749841</v>
      </c>
      <c r="I204" s="62"/>
      <c r="J204" s="61">
        <f>J203-H204-I204</f>
        <v>-3016.2610068725044</v>
      </c>
      <c r="K204" s="61">
        <f>K203*(1+$J$17)^(1/12)</f>
        <v>10626.248592045822</v>
      </c>
      <c r="L204" s="31">
        <f t="shared" si="27"/>
        <v>16</v>
      </c>
      <c r="M204" s="31">
        <f t="shared" si="28"/>
        <v>-2.6666666666666661</v>
      </c>
      <c r="N204" s="31">
        <f t="shared" si="29"/>
        <v>-2.35</v>
      </c>
      <c r="O204" s="62"/>
      <c r="P204" s="31">
        <f>O204+N204+M204+L204+I204+F204</f>
        <v>-10.186326370998302</v>
      </c>
      <c r="Q204" s="31">
        <f>SUM($P$36:P204)</f>
        <v>-2205.5248721017301</v>
      </c>
      <c r="R204" s="83">
        <f t="shared" si="30"/>
        <v>-0.18215698465991176</v>
      </c>
      <c r="S204" s="31">
        <f>SUMPRODUCT($P$36:P204,$D$36:D204)/D204-Q204</f>
        <v>-1189.5414292002151</v>
      </c>
      <c r="T204" s="31">
        <f t="shared" si="24"/>
        <v>5404.4627130715871</v>
      </c>
      <c r="U204" s="31">
        <f t="shared" si="25"/>
        <v>6025.7027130715869</v>
      </c>
      <c r="V204" s="80" cm="1">
        <f t="array" ref="V204">IF($L$2&lt;&gt;1,IRR(IF(ROW($P$36:P204)=ROW(P204),P204+K204+J204,$P$36:P204),V203/12)*12,0)</f>
        <v>0.12706089447274227</v>
      </c>
      <c r="W204" s="83">
        <f>(1+V204/12)^(B204)-1</f>
        <v>4.8679237700993596</v>
      </c>
    </row>
    <row r="205" spans="2:23" x14ac:dyDescent="0.25">
      <c r="B205" s="33">
        <v>169</v>
      </c>
      <c r="C205" s="105">
        <f t="shared" si="23"/>
        <v>3.9789301544717048E-3</v>
      </c>
      <c r="D205" s="106">
        <f t="shared" si="26"/>
        <v>0.51114348281099875</v>
      </c>
      <c r="E205" s="60">
        <f>rate</f>
        <v>3.5145930840192463E-3</v>
      </c>
      <c r="F205" s="31">
        <f>IF(AND(B204&gt;=gracia,12*años+gracia-B204&gt;0,$L$2&lt;&gt;1),PMT(E204,12*años-B204+gracia,-J204),0)</f>
        <v>-21.169659704331632</v>
      </c>
      <c r="G205" s="31">
        <f>IF(AND(12*años+gracia-B204&gt;0,$L$2&lt;&gt;1),J204*E205,0)</f>
        <v>-10.600930074351032</v>
      </c>
      <c r="H205" s="31">
        <f>IF(AND(12*años+gracia-B204&gt;0,$L$2&lt;&gt;1),F205-G205,0)</f>
        <v>-10.5687296299806</v>
      </c>
      <c r="I205" s="62"/>
      <c r="J205" s="61">
        <f>J204-H205-I205</f>
        <v>-3005.6922772425237</v>
      </c>
      <c r="K205" s="61">
        <f>K204*(1+$J$17)^(1/12)</f>
        <v>10677.972394387511</v>
      </c>
      <c r="L205" s="31">
        <f t="shared" si="27"/>
        <v>16</v>
      </c>
      <c r="M205" s="31">
        <f t="shared" si="28"/>
        <v>-2.6666666666666661</v>
      </c>
      <c r="N205" s="31">
        <f t="shared" si="29"/>
        <v>-2.35</v>
      </c>
      <c r="O205" s="62"/>
      <c r="P205" s="31">
        <f>O205+N205+M205+L205+I205+F205</f>
        <v>-10.186326370998298</v>
      </c>
      <c r="Q205" s="31">
        <f>SUM($P$36:P205)</f>
        <v>-2215.7111984727285</v>
      </c>
      <c r="R205" s="83">
        <f t="shared" si="30"/>
        <v>-0.1822434000263716</v>
      </c>
      <c r="S205" s="31">
        <f>SUMPRODUCT($P$36:P205,$D$36:D205)/D205-Q205</f>
        <v>-1203.0501608828959</v>
      </c>
      <c r="T205" s="31">
        <f t="shared" si="24"/>
        <v>5456.5689186722584</v>
      </c>
      <c r="U205" s="31">
        <f t="shared" si="25"/>
        <v>6077.8089186722582</v>
      </c>
      <c r="V205" s="80" cm="1">
        <f t="array" ref="V205">IF($L$2&lt;&gt;1,IRR(IF(ROW($P$36:P205)=ROW(P205),P205+K205+J205,$P$36:P205),V204/12)*12,0)</f>
        <v>0.12671963340388537</v>
      </c>
      <c r="W205" s="83">
        <f>(1+V205/12)^(B205)-1</f>
        <v>4.9019205097658682</v>
      </c>
    </row>
    <row r="206" spans="2:23" x14ac:dyDescent="0.25">
      <c r="B206" s="33">
        <v>170</v>
      </c>
      <c r="C206" s="105">
        <f t="shared" si="23"/>
        <v>3.9789301544717048E-3</v>
      </c>
      <c r="D206" s="106">
        <f t="shared" si="26"/>
        <v>0.50911773888756262</v>
      </c>
      <c r="E206" s="60">
        <f>rate</f>
        <v>3.5145930840192463E-3</v>
      </c>
      <c r="F206" s="31">
        <f>IF(AND(B205&gt;=gracia,12*años+gracia-B205&gt;0,$L$2&lt;&gt;1),PMT(E205,12*años-B205+gracia,-J205),0)</f>
        <v>-21.169659704331632</v>
      </c>
      <c r="G206" s="31">
        <f>IF(AND(12*años+gracia-B205&gt;0,$L$2&lt;&gt;1),J205*E206,0)</f>
        <v>-10.563785290286633</v>
      </c>
      <c r="H206" s="31">
        <f>IF(AND(12*años+gracia-B205&gt;0,$L$2&lt;&gt;1),F206-G206,0)</f>
        <v>-10.605874414044999</v>
      </c>
      <c r="I206" s="62"/>
      <c r="J206" s="61">
        <f>J205-H206-I206</f>
        <v>-2995.0864028284786</v>
      </c>
      <c r="K206" s="61">
        <f>K205*(1+$J$17)^(1/12)</f>
        <v>10729.947964952529</v>
      </c>
      <c r="L206" s="31">
        <f t="shared" si="27"/>
        <v>16</v>
      </c>
      <c r="M206" s="31">
        <f t="shared" si="28"/>
        <v>-2.6666666666666661</v>
      </c>
      <c r="N206" s="31">
        <f t="shared" si="29"/>
        <v>-2.35</v>
      </c>
      <c r="O206" s="62"/>
      <c r="P206" s="31">
        <f>O206+N206+M206+L206+I206+F206</f>
        <v>-10.186326370998298</v>
      </c>
      <c r="Q206" s="31">
        <f>SUM($P$36:P206)</f>
        <v>-2225.8975248437268</v>
      </c>
      <c r="R206" s="83">
        <f t="shared" si="30"/>
        <v>-0.18232879874146132</v>
      </c>
      <c r="S206" s="31">
        <f>SUMPRODUCT($P$36:P206,$D$36:D206)/D206-Q206</f>
        <v>-1216.6531735465783</v>
      </c>
      <c r="T206" s="31">
        <f t="shared" si="24"/>
        <v>5508.9640372803242</v>
      </c>
      <c r="U206" s="31">
        <f t="shared" si="25"/>
        <v>6130.204037280324</v>
      </c>
      <c r="V206" s="80" cm="1">
        <f t="array" ref="V206">IF($L$2&lt;&gt;1,IRR(IF(ROW($P$36:P206)=ROW(P206),P206+K206+J206,$P$36:P206),V205/12)*12,0)</f>
        <v>0.12638129452596303</v>
      </c>
      <c r="W206" s="83">
        <f>(1+V206/12)^(B206)-1</f>
        <v>4.936022502179525</v>
      </c>
    </row>
    <row r="207" spans="2:23" x14ac:dyDescent="0.25">
      <c r="B207" s="33">
        <v>171</v>
      </c>
      <c r="C207" s="105">
        <f t="shared" si="23"/>
        <v>3.9789301544717048E-3</v>
      </c>
      <c r="D207" s="106">
        <f t="shared" si="26"/>
        <v>0.50710002331346737</v>
      </c>
      <c r="E207" s="60">
        <f>rate</f>
        <v>3.5145930840192463E-3</v>
      </c>
      <c r="F207" s="31">
        <f>IF(AND(B206&gt;=gracia,12*años+gracia-B206&gt;0,$L$2&lt;&gt;1),PMT(E206,12*años-B206+gracia,-J206),0)</f>
        <v>-21.169659704331632</v>
      </c>
      <c r="G207" s="31">
        <f>IF(AND(12*años+gracia-B206&gt;0,$L$2&lt;&gt;1),J206*E207,0)</f>
        <v>-10.526509957421053</v>
      </c>
      <c r="H207" s="31">
        <f>IF(AND(12*años+gracia-B206&gt;0,$L$2&lt;&gt;1),F207-G207,0)</f>
        <v>-10.643149746910579</v>
      </c>
      <c r="I207" s="62"/>
      <c r="J207" s="61">
        <f>J206-H207-I207</f>
        <v>-2984.4432530815679</v>
      </c>
      <c r="K207" s="61">
        <f>K206*(1+$J$17)^(1/12)</f>
        <v>10782.176529235436</v>
      </c>
      <c r="L207" s="31">
        <f t="shared" si="27"/>
        <v>16</v>
      </c>
      <c r="M207" s="31">
        <f t="shared" si="28"/>
        <v>-2.6666666666666661</v>
      </c>
      <c r="N207" s="31">
        <f t="shared" si="29"/>
        <v>-2.35</v>
      </c>
      <c r="O207" s="62"/>
      <c r="P207" s="31">
        <f>O207+N207+M207+L207+I207+F207</f>
        <v>-10.186326370998298</v>
      </c>
      <c r="Q207" s="31">
        <f>SUM($P$36:P207)</f>
        <v>-2236.0838512147252</v>
      </c>
      <c r="R207" s="83">
        <f t="shared" si="30"/>
        <v>-0.18241319864116984</v>
      </c>
      <c r="S207" s="31">
        <f>SUMPRODUCT($P$36:P207,$D$36:D207)/D207-Q207</f>
        <v>-1230.3508423287012</v>
      </c>
      <c r="T207" s="31">
        <f t="shared" si="24"/>
        <v>5561.6494249391426</v>
      </c>
      <c r="U207" s="31">
        <f t="shared" si="25"/>
        <v>6182.8894249391424</v>
      </c>
      <c r="V207" s="80" cm="1">
        <f t="array" ref="V207">IF($L$2&lt;&gt;1,IRR(IF(ROW($P$36:P207)=ROW(P207),P207+K207+J207,$P$36:P207),V206/12)*12,0)</f>
        <v>0.12604584196932933</v>
      </c>
      <c r="W207" s="83">
        <f>(1+V207/12)^(B207)-1</f>
        <v>4.9702306012387805</v>
      </c>
    </row>
    <row r="208" spans="2:23" x14ac:dyDescent="0.25">
      <c r="B208" s="33">
        <v>172</v>
      </c>
      <c r="C208" s="105">
        <f t="shared" si="23"/>
        <v>3.9789301544717048E-3</v>
      </c>
      <c r="D208" s="106">
        <f t="shared" si="26"/>
        <v>0.50509030427107193</v>
      </c>
      <c r="E208" s="60">
        <f>rate</f>
        <v>3.5145930840192463E-3</v>
      </c>
      <c r="F208" s="31">
        <f>IF(AND(B207&gt;=gracia,12*años+gracia-B207&gt;0,$L$2&lt;&gt;1),PMT(E207,12*años-B207+gracia,-J207),0)</f>
        <v>-21.169659704331632</v>
      </c>
      <c r="G208" s="31">
        <f>IF(AND(12*años+gracia-B207&gt;0,$L$2&lt;&gt;1),J207*E208,0)</f>
        <v>-10.48910361692838</v>
      </c>
      <c r="H208" s="31">
        <f>IF(AND(12*años+gracia-B207&gt;0,$L$2&lt;&gt;1),F208-G208,0)</f>
        <v>-10.680556087403252</v>
      </c>
      <c r="I208" s="62"/>
      <c r="J208" s="61">
        <f>J207-H208-I208</f>
        <v>-2973.7626969941648</v>
      </c>
      <c r="K208" s="61">
        <f>K207*(1+$J$17)^(1/12)</f>
        <v>10834.659318695944</v>
      </c>
      <c r="L208" s="31">
        <f t="shared" si="27"/>
        <v>16</v>
      </c>
      <c r="M208" s="31">
        <f t="shared" si="28"/>
        <v>-2.6666666666666661</v>
      </c>
      <c r="N208" s="31">
        <f t="shared" si="29"/>
        <v>-2.35</v>
      </c>
      <c r="O208" s="62"/>
      <c r="P208" s="31">
        <f>O208+N208+M208+L208+I208+F208</f>
        <v>-10.186326370998298</v>
      </c>
      <c r="Q208" s="31">
        <f>SUM($P$36:P208)</f>
        <v>-2246.2701775857236</v>
      </c>
      <c r="R208" s="83">
        <f t="shared" si="30"/>
        <v>-0.18249661714669577</v>
      </c>
      <c r="S208" s="31">
        <f>SUMPRODUCT($P$36:P208,$D$36:D208)/D208-Q208</f>
        <v>-1244.143543859348</v>
      </c>
      <c r="T208" s="31">
        <f t="shared" si="24"/>
        <v>5614.6264441160547</v>
      </c>
      <c r="U208" s="31">
        <f t="shared" si="25"/>
        <v>6235.8664441160545</v>
      </c>
      <c r="V208" s="80" cm="1">
        <f t="array" ref="V208">IF($L$2&lt;&gt;1,IRR(IF(ROW($P$36:P208)=ROW(P208),P208+K208+J208,$P$36:P208),V207/12)*12,0)</f>
        <v>0.12571324042399468</v>
      </c>
      <c r="W208" s="83">
        <f>(1+V208/12)^(B208)-1</f>
        <v>5.0045456599166167</v>
      </c>
    </row>
    <row r="209" spans="2:23" x14ac:dyDescent="0.25">
      <c r="B209" s="33">
        <v>173</v>
      </c>
      <c r="C209" s="105">
        <f t="shared" si="23"/>
        <v>3.9789301544717048E-3</v>
      </c>
      <c r="D209" s="106">
        <f t="shared" si="26"/>
        <v>0.50308855006883357</v>
      </c>
      <c r="E209" s="60">
        <f>rate</f>
        <v>3.5145930840192463E-3</v>
      </c>
      <c r="F209" s="31">
        <f>IF(AND(B208&gt;=gracia,12*años+gracia-B208&gt;0,$L$2&lt;&gt;1),PMT(E208,12*años-B208+gracia,-J208),0)</f>
        <v>-21.169659704331632</v>
      </c>
      <c r="G209" s="31">
        <f>IF(AND(12*años+gracia-B208&gt;0,$L$2&lt;&gt;1),J208*E209,0)</f>
        <v>-10.451565808370113</v>
      </c>
      <c r="H209" s="31">
        <f>IF(AND(12*años+gracia-B208&gt;0,$L$2&lt;&gt;1),F209-G209,0)</f>
        <v>-10.71809389596152</v>
      </c>
      <c r="I209" s="62"/>
      <c r="J209" s="61">
        <f>J208-H209-I209</f>
        <v>-2963.0446030982034</v>
      </c>
      <c r="K209" s="61">
        <f>K208*(1+$J$17)^(1/12)</f>
        <v>10887.397570787962</v>
      </c>
      <c r="L209" s="31">
        <f t="shared" si="27"/>
        <v>16</v>
      </c>
      <c r="M209" s="31">
        <f t="shared" si="28"/>
        <v>-2.6666666666666661</v>
      </c>
      <c r="N209" s="31">
        <f t="shared" si="29"/>
        <v>-2.35</v>
      </c>
      <c r="O209" s="62"/>
      <c r="P209" s="31">
        <f>O209+N209+M209+L209+I209+F209</f>
        <v>-10.186326370998298</v>
      </c>
      <c r="Q209" s="31">
        <f>SUM($P$36:P209)</f>
        <v>-2256.4565039567219</v>
      </c>
      <c r="R209" s="83">
        <f t="shared" si="30"/>
        <v>-0.18257907127643522</v>
      </c>
      <c r="S209" s="31">
        <f>SUMPRODUCT($P$36:P209,$D$36:D209)/D209-Q209</f>
        <v>-1258.0316562671878</v>
      </c>
      <c r="T209" s="31">
        <f t="shared" si="24"/>
        <v>5667.8964637330364</v>
      </c>
      <c r="U209" s="31">
        <f t="shared" si="25"/>
        <v>6289.1364637330362</v>
      </c>
      <c r="V209" s="80" cm="1">
        <f t="array" ref="V209">IF($L$2&lt;&gt;1,IRR(IF(ROW($P$36:P209)=ROW(P209),P209+K209+J209,$P$36:P209),V208/12)*12,0)</f>
        <v>0.12538345512963112</v>
      </c>
      <c r="W209" s="83">
        <f>(1+V209/12)^(B209)-1</f>
        <v>5.038968530337983</v>
      </c>
    </row>
    <row r="210" spans="2:23" x14ac:dyDescent="0.25">
      <c r="B210" s="33">
        <v>174</v>
      </c>
      <c r="C210" s="105">
        <f t="shared" si="23"/>
        <v>3.9789301544717048E-3</v>
      </c>
      <c r="D210" s="106">
        <f t="shared" si="26"/>
        <v>0.50109472914080833</v>
      </c>
      <c r="E210" s="60">
        <f>rate</f>
        <v>3.5145930840192463E-3</v>
      </c>
      <c r="F210" s="31">
        <f>IF(AND(B209&gt;=gracia,12*años+gracia-B209&gt;0,$L$2&lt;&gt;1),PMT(E209,12*años-B209+gracia,-J209),0)</f>
        <v>-21.169659704331632</v>
      </c>
      <c r="G210" s="31">
        <f>IF(AND(12*años+gracia-B209&gt;0,$L$2&lt;&gt;1),J209*E210,0)</f>
        <v>-10.413896069689498</v>
      </c>
      <c r="H210" s="31">
        <f>IF(AND(12*años+gracia-B209&gt;0,$L$2&lt;&gt;1),F210-G210,0)</f>
        <v>-10.755763634642134</v>
      </c>
      <c r="I210" s="62"/>
      <c r="J210" s="61">
        <f>J209-H210-I210</f>
        <v>-2952.2888394635611</v>
      </c>
      <c r="K210" s="61">
        <f>K209*(1+$J$17)^(1/12)</f>
        <v>10940.392528988765</v>
      </c>
      <c r="L210" s="31">
        <f t="shared" si="27"/>
        <v>16</v>
      </c>
      <c r="M210" s="31">
        <f t="shared" si="28"/>
        <v>-2.6666666666666661</v>
      </c>
      <c r="N210" s="31">
        <f t="shared" si="29"/>
        <v>-2.35</v>
      </c>
      <c r="O210" s="62"/>
      <c r="P210" s="31">
        <f>O210+N210+M210+L210+I210+F210</f>
        <v>-10.186326370998298</v>
      </c>
      <c r="Q210" s="31">
        <f>SUM($P$36:P210)</f>
        <v>-2266.6428303277203</v>
      </c>
      <c r="R210" s="83">
        <f t="shared" si="30"/>
        <v>-0.18266057765755703</v>
      </c>
      <c r="S210" s="31">
        <f>SUMPRODUCT($P$36:P210,$D$36:D210)/D210-Q210</f>
        <v>-1272.0155591854368</v>
      </c>
      <c r="T210" s="31">
        <f t="shared" si="24"/>
        <v>5721.4608591974829</v>
      </c>
      <c r="U210" s="31">
        <f t="shared" si="25"/>
        <v>6342.7008591974827</v>
      </c>
      <c r="V210" s="80" cm="1">
        <f t="array" ref="V210">IF($L$2&lt;&gt;1,IRR(IF(ROW($P$36:P210)=ROW(P210),P210+K210+J210,$P$36:P210),V209/12)*12,0)</f>
        <v>0.12505645186576686</v>
      </c>
      <c r="W210" s="83">
        <f>(1+V210/12)^(B210)-1</f>
        <v>5.073500063855052</v>
      </c>
    </row>
    <row r="211" spans="2:23" x14ac:dyDescent="0.25">
      <c r="B211" s="33">
        <v>175</v>
      </c>
      <c r="C211" s="105">
        <f t="shared" si="23"/>
        <v>3.9789301544717048E-3</v>
      </c>
      <c r="D211" s="106">
        <f t="shared" si="26"/>
        <v>0.49910881004615321</v>
      </c>
      <c r="E211" s="60">
        <f>rate</f>
        <v>3.5145930840192463E-3</v>
      </c>
      <c r="F211" s="31">
        <f>IF(AND(B210&gt;=gracia,12*años+gracia-B210&gt;0,$L$2&lt;&gt;1),PMT(E210,12*años-B210+gracia,-J210),0)</f>
        <v>-21.169659704331629</v>
      </c>
      <c r="G211" s="31">
        <f>IF(AND(12*años+gracia-B210&gt;0,$L$2&lt;&gt;1),J210*E211,0)</f>
        <v>-10.376093937205839</v>
      </c>
      <c r="H211" s="31">
        <f>IF(AND(12*años+gracia-B210&gt;0,$L$2&lt;&gt;1),F211-G211,0)</f>
        <v>-10.79356576712579</v>
      </c>
      <c r="I211" s="62"/>
      <c r="J211" s="61">
        <f>J210-H211-I211</f>
        <v>-2941.4952736964351</v>
      </c>
      <c r="K211" s="61">
        <f>K210*(1+$J$17)^(1/12)</f>
        <v>10993.64544282832</v>
      </c>
      <c r="L211" s="31">
        <f t="shared" si="27"/>
        <v>16</v>
      </c>
      <c r="M211" s="31">
        <f t="shared" si="28"/>
        <v>-2.6666666666666661</v>
      </c>
      <c r="N211" s="31">
        <f t="shared" si="29"/>
        <v>-2.35</v>
      </c>
      <c r="O211" s="62"/>
      <c r="P211" s="31">
        <f>O211+N211+M211+L211+I211+F211</f>
        <v>-10.186326370998295</v>
      </c>
      <c r="Q211" s="31">
        <f>SUM($P$36:P211)</f>
        <v>-2276.8291566987186</v>
      </c>
      <c r="R211" s="83">
        <f t="shared" si="30"/>
        <v>-0.18274115253718023</v>
      </c>
      <c r="S211" s="31">
        <f>SUMPRODUCT($P$36:P211,$D$36:D211)/D211-Q211</f>
        <v>-1286.095633757845</v>
      </c>
      <c r="T211" s="31">
        <f t="shared" si="24"/>
        <v>5775.3210124331654</v>
      </c>
      <c r="U211" s="31">
        <f t="shared" si="25"/>
        <v>6396.5610124331652</v>
      </c>
      <c r="V211" s="80" cm="1">
        <f t="array" ref="V211">IF($L$2&lt;&gt;1,IRR(IF(ROW($P$36:P211)=ROW(P211),P211+K211+J211,$P$36:P211),V210/12)*12,0)</f>
        <v>0.12473219694215132</v>
      </c>
      <c r="W211" s="83">
        <f>(1+V211/12)^(B211)-1</f>
        <v>5.1081411111230111</v>
      </c>
    </row>
    <row r="212" spans="2:23" x14ac:dyDescent="0.25">
      <c r="B212" s="33">
        <v>176</v>
      </c>
      <c r="C212" s="105">
        <f t="shared" si="23"/>
        <v>3.9789301544717048E-3</v>
      </c>
      <c r="D212" s="106">
        <f t="shared" si="26"/>
        <v>0.49713076146863017</v>
      </c>
      <c r="E212" s="60">
        <f>rate</f>
        <v>3.5145930840192463E-3</v>
      </c>
      <c r="F212" s="31">
        <f>IF(AND(B211&gt;=gracia,12*años+gracia-B211&gt;0,$L$2&lt;&gt;1),PMT(E211,12*años-B211+gracia,-J211),0)</f>
        <v>-21.169659704331629</v>
      </c>
      <c r="G212" s="31">
        <f>IF(AND(12*años+gracia-B211&gt;0,$L$2&lt;&gt;1),J211*E212,0)</f>
        <v>-10.338158945608791</v>
      </c>
      <c r="H212" s="31">
        <f>IF(AND(12*años+gracia-B211&gt;0,$L$2&lt;&gt;1),F212-G212,0)</f>
        <v>-10.831500758722838</v>
      </c>
      <c r="I212" s="62"/>
      <c r="J212" s="61">
        <f>J211-H212-I212</f>
        <v>-2930.6637729377121</v>
      </c>
      <c r="K212" s="61">
        <f>K211*(1+$J$17)^(1/12)</f>
        <v>11047.157567918739</v>
      </c>
      <c r="L212" s="31">
        <f t="shared" si="27"/>
        <v>16</v>
      </c>
      <c r="M212" s="31">
        <f t="shared" si="28"/>
        <v>-2.6666666666666661</v>
      </c>
      <c r="N212" s="31">
        <f t="shared" si="29"/>
        <v>-2.35</v>
      </c>
      <c r="O212" s="62"/>
      <c r="P212" s="31">
        <f>O212+N212+M212+L212+I212+F212</f>
        <v>-10.186326370998295</v>
      </c>
      <c r="Q212" s="31">
        <f>SUM($P$36:P212)</f>
        <v>-2287.015483069717</v>
      </c>
      <c r="R212" s="83">
        <f t="shared" si="30"/>
        <v>-0.18282081179317139</v>
      </c>
      <c r="S212" s="31">
        <f>SUMPRODUCT($P$36:P212,$D$36:D212)/D212-Q212</f>
        <v>-1300.2722626447076</v>
      </c>
      <c r="T212" s="31">
        <f t="shared" si="24"/>
        <v>5829.4783119113099</v>
      </c>
      <c r="U212" s="31">
        <f t="shared" si="25"/>
        <v>6450.7183119113097</v>
      </c>
      <c r="V212" s="80" cm="1">
        <f t="array" ref="V212">IF($L$2&lt;&gt;1,IRR(IF(ROW($P$36:P212)=ROW(P212),P212+K212+J212,$P$36:P212),V211/12)*12,0)</f>
        <v>0.124410657189296</v>
      </c>
      <c r="W212" s="83">
        <f>(1+V212/12)^(B212)-1</f>
        <v>5.1428925221738222</v>
      </c>
    </row>
    <row r="213" spans="2:23" x14ac:dyDescent="0.25">
      <c r="B213" s="33">
        <v>177</v>
      </c>
      <c r="C213" s="105">
        <f t="shared" si="23"/>
        <v>3.9789301544717048E-3</v>
      </c>
      <c r="D213" s="106">
        <f t="shared" si="26"/>
        <v>0.4951605522161126</v>
      </c>
      <c r="E213" s="60">
        <f>rate</f>
        <v>3.5145930840192463E-3</v>
      </c>
      <c r="F213" s="31">
        <f>IF(AND(B212&gt;=gracia,12*años+gracia-B212&gt;0,$L$2&lt;&gt;1),PMT(E212,12*años-B212+gracia,-J212),0)</f>
        <v>-21.169659704331629</v>
      </c>
      <c r="G213" s="31">
        <f>IF(AND(12*años+gracia-B212&gt;0,$L$2&lt;&gt;1),J212*E213,0)</f>
        <v>-10.300090627952633</v>
      </c>
      <c r="H213" s="31">
        <f>IF(AND(12*años+gracia-B212&gt;0,$L$2&lt;&gt;1),F213-G213,0)</f>
        <v>-10.869569076378996</v>
      </c>
      <c r="I213" s="62"/>
      <c r="J213" s="61">
        <f>J212-H213-I213</f>
        <v>-2919.7942038613332</v>
      </c>
      <c r="K213" s="61">
        <f>K212*(1+$J$17)^(1/12)</f>
        <v>11100.930165983895</v>
      </c>
      <c r="L213" s="31">
        <f t="shared" si="27"/>
        <v>16</v>
      </c>
      <c r="M213" s="31">
        <f t="shared" si="28"/>
        <v>-2.6666666666666661</v>
      </c>
      <c r="N213" s="31">
        <f t="shared" si="29"/>
        <v>-2.35</v>
      </c>
      <c r="O213" s="62"/>
      <c r="P213" s="31">
        <f>O213+N213+M213+L213+I213+F213</f>
        <v>-10.186326370998295</v>
      </c>
      <c r="Q213" s="31">
        <f>SUM($P$36:P213)</f>
        <v>-2297.2018094407154</v>
      </c>
      <c r="R213" s="83">
        <f t="shared" si="30"/>
        <v>-0.18289957094457504</v>
      </c>
      <c r="S213" s="31">
        <f>SUMPRODUCT($P$36:P213,$D$36:D213)/D213-Q213</f>
        <v>-1314.5458300288974</v>
      </c>
      <c r="T213" s="31">
        <f t="shared" si="24"/>
        <v>5883.9341526818462</v>
      </c>
      <c r="U213" s="31">
        <f t="shared" si="25"/>
        <v>6505.174152681846</v>
      </c>
      <c r="V213" s="80" cm="1">
        <f t="array" ref="V213">IF($L$2&lt;&gt;1,IRR(IF(ROW($P$36:P213)=ROW(P213),P213+K213+J213,$P$36:P213),V212/12)*12,0)</f>
        <v>0.12409179994917263</v>
      </c>
      <c r="W213" s="83">
        <f>(1+V213/12)^(B213)-1</f>
        <v>5.1777551464880851</v>
      </c>
    </row>
    <row r="214" spans="2:23" x14ac:dyDescent="0.25">
      <c r="B214" s="33">
        <v>178</v>
      </c>
      <c r="C214" s="105">
        <f t="shared" si="23"/>
        <v>3.9789301544717048E-3</v>
      </c>
      <c r="D214" s="106">
        <f t="shared" si="26"/>
        <v>0.49319815122009331</v>
      </c>
      <c r="E214" s="60">
        <f>rate</f>
        <v>3.5145930840192463E-3</v>
      </c>
      <c r="F214" s="31">
        <f>IF(AND(B213&gt;=gracia,12*años+gracia-B213&gt;0,$L$2&lt;&gt;1),PMT(E213,12*años-B213+gracia,-J213),0)</f>
        <v>-21.169659704331632</v>
      </c>
      <c r="G214" s="31">
        <f>IF(AND(12*años+gracia-B213&gt;0,$L$2&lt;&gt;1),J213*E214,0)</f>
        <v>-10.261888515650524</v>
      </c>
      <c r="H214" s="31">
        <f>IF(AND(12*años+gracia-B213&gt;0,$L$2&lt;&gt;1),F214-G214,0)</f>
        <v>-10.907771188681108</v>
      </c>
      <c r="I214" s="62"/>
      <c r="J214" s="61">
        <f>J213-H214-I214</f>
        <v>-2908.8864326726521</v>
      </c>
      <c r="K214" s="61">
        <f>K213*(1+$J$17)^(1/12)</f>
        <v>11154.964504889163</v>
      </c>
      <c r="L214" s="31">
        <f t="shared" si="27"/>
        <v>16</v>
      </c>
      <c r="M214" s="31">
        <f t="shared" si="28"/>
        <v>-2.6666666666666661</v>
      </c>
      <c r="N214" s="31">
        <f t="shared" si="29"/>
        <v>-2.35</v>
      </c>
      <c r="O214" s="62"/>
      <c r="P214" s="31">
        <f>O214+N214+M214+L214+I214+F214</f>
        <v>-10.186326370998298</v>
      </c>
      <c r="Q214" s="31">
        <f>SUM($P$36:P214)</f>
        <v>-2307.3881358117137</v>
      </c>
      <c r="R214" s="83">
        <f t="shared" si="30"/>
        <v>-0.18297744516169331</v>
      </c>
      <c r="S214" s="31">
        <f>SUMPRODUCT($P$36:P214,$D$36:D214)/D214-Q214</f>
        <v>-1328.9167216219244</v>
      </c>
      <c r="T214" s="31">
        <f t="shared" si="24"/>
        <v>5938.6899364047977</v>
      </c>
      <c r="U214" s="31">
        <f t="shared" si="25"/>
        <v>6559.9299364047974</v>
      </c>
      <c r="V214" s="80" cm="1">
        <f t="array" ref="V214">IF($L$2&lt;&gt;1,IRR(IF(ROW($P$36:P214)=ROW(P214),P214+K214+J214,$P$36:P214),V213/12)*12,0)</f>
        <v>0.12377559306609243</v>
      </c>
      <c r="W214" s="83">
        <f>(1+V214/12)^(B214)-1</f>
        <v>5.2127298330665122</v>
      </c>
    </row>
    <row r="215" spans="2:23" x14ac:dyDescent="0.25">
      <c r="B215" s="33">
        <v>179</v>
      </c>
      <c r="C215" s="105">
        <f t="shared" si="23"/>
        <v>3.9789301544717048E-3</v>
      </c>
      <c r="D215" s="106">
        <f t="shared" si="26"/>
        <v>0.49124352753519446</v>
      </c>
      <c r="E215" s="60">
        <f>rate</f>
        <v>3.5145930840192463E-3</v>
      </c>
      <c r="F215" s="31">
        <f>IF(AND(B214&gt;=gracia,12*años+gracia-B214&gt;0,$L$2&lt;&gt;1),PMT(E214,12*años-B214+gracia,-J214),0)</f>
        <v>-21.169659704331629</v>
      </c>
      <c r="G215" s="31">
        <f>IF(AND(12*años+gracia-B214&gt;0,$L$2&lt;&gt;1),J214*E215,0)</f>
        <v>-10.223552138468721</v>
      </c>
      <c r="H215" s="31">
        <f>IF(AND(12*años+gracia-B214&gt;0,$L$2&lt;&gt;1),F215-G215,0)</f>
        <v>-10.946107565862908</v>
      </c>
      <c r="I215" s="62"/>
      <c r="J215" s="61">
        <f>J214-H215-I215</f>
        <v>-2897.9403251067893</v>
      </c>
      <c r="K215" s="61">
        <f>K214*(1+$J$17)^(1/12)</f>
        <v>11209.261858671318</v>
      </c>
      <c r="L215" s="31">
        <f t="shared" si="27"/>
        <v>16</v>
      </c>
      <c r="M215" s="31">
        <f t="shared" si="28"/>
        <v>-2.6666666666666661</v>
      </c>
      <c r="N215" s="31">
        <f t="shared" si="29"/>
        <v>-2.35</v>
      </c>
      <c r="O215" s="62"/>
      <c r="P215" s="31">
        <f>O215+N215+M215+L215+I215+F215</f>
        <v>-10.186326370998295</v>
      </c>
      <c r="Q215" s="31">
        <f>SUM($P$36:P215)</f>
        <v>-2317.5744621827121</v>
      </c>
      <c r="R215" s="83">
        <f t="shared" si="30"/>
        <v>-0.18305444927582701</v>
      </c>
      <c r="S215" s="31">
        <f>SUMPRODUCT($P$36:P215,$D$36:D215)/D215-Q215</f>
        <v>-1343.3853246700191</v>
      </c>
      <c r="T215" s="31">
        <f t="shared" si="24"/>
        <v>5993.7470713818166</v>
      </c>
      <c r="U215" s="31">
        <f t="shared" si="25"/>
        <v>6614.9870713818163</v>
      </c>
      <c r="V215" s="80" cm="1">
        <f t="array" ref="V215">IF($L$2&lt;&gt;1,IRR(IF(ROW($P$36:P215)=ROW(P215),P215+K215+J215,$P$36:P215),V214/12)*12,0)</f>
        <v>0.12346200487774528</v>
      </c>
      <c r="W215" s="83">
        <f>(1+V215/12)^(B215)-1</f>
        <v>5.2478174305001959</v>
      </c>
    </row>
    <row r="216" spans="2:23" x14ac:dyDescent="0.25">
      <c r="B216" s="33">
        <v>180</v>
      </c>
      <c r="C216" s="105">
        <f t="shared" si="23"/>
        <v>3.9789301544717048E-3</v>
      </c>
      <c r="D216" s="106">
        <f t="shared" si="26"/>
        <v>0.48929665033867986</v>
      </c>
      <c r="E216" s="60">
        <f>rate</f>
        <v>3.5145930840192463E-3</v>
      </c>
      <c r="F216" s="31">
        <f>IF(AND(B215&gt;=gracia,12*años+gracia-B215&gt;0,$L$2&lt;&gt;1),PMT(E215,12*años-B215+gracia,-J215),0)</f>
        <v>-21.169659704331629</v>
      </c>
      <c r="G216" s="31">
        <f>IF(AND(12*años+gracia-B215&gt;0,$L$2&lt;&gt;1),J215*E216,0)</f>
        <v>-10.185081024520807</v>
      </c>
      <c r="H216" s="31">
        <f>IF(AND(12*años+gracia-B215&gt;0,$L$2&lt;&gt;1),F216-G216,0)</f>
        <v>-10.984578679810822</v>
      </c>
      <c r="I216" s="62"/>
      <c r="J216" s="61">
        <f>J215-H216-I216</f>
        <v>-2886.9557464269783</v>
      </c>
      <c r="K216" s="61">
        <f>K215*(1+$J$17)^(1/12)</f>
        <v>11263.823507568572</v>
      </c>
      <c r="L216" s="31">
        <f t="shared" si="27"/>
        <v>16</v>
      </c>
      <c r="M216" s="31">
        <f t="shared" si="28"/>
        <v>-2.6666666666666661</v>
      </c>
      <c r="N216" s="31">
        <f t="shared" si="29"/>
        <v>-2.35</v>
      </c>
      <c r="O216" s="62"/>
      <c r="P216" s="31">
        <f>O216+N216+M216+L216+I216+F216</f>
        <v>-10.186326370998295</v>
      </c>
      <c r="Q216" s="31">
        <f>SUM($P$36:P216)</f>
        <v>-2327.7607885537104</v>
      </c>
      <c r="R216" s="83">
        <f t="shared" si="30"/>
        <v>-0.18313059778869256</v>
      </c>
      <c r="S216" s="31">
        <f>SUMPRODUCT($P$36:P216,$D$36:D216)/D216-Q216</f>
        <v>-1357.9520279602357</v>
      </c>
      <c r="T216" s="31">
        <f t="shared" si="24"/>
        <v>6049.1069725878824</v>
      </c>
      <c r="U216" s="31">
        <f t="shared" si="25"/>
        <v>6670.3469725878822</v>
      </c>
      <c r="V216" s="80" cm="1">
        <f t="array" ref="V216">IF($L$2&lt;&gt;1,IRR(IF(ROW($P$36:P216)=ROW(P216),P216+K216+J216,$P$36:P216),V215/12)*12,0)</f>
        <v>0.12315100420638814</v>
      </c>
      <c r="W216" s="83">
        <f>(1+V216/12)^(B216)-1</f>
        <v>5.2830187870381087</v>
      </c>
    </row>
    <row r="217" spans="2:23" x14ac:dyDescent="0.25">
      <c r="B217" s="33">
        <v>181</v>
      </c>
      <c r="C217" s="105">
        <f t="shared" si="23"/>
        <v>3.9789301544717048E-3</v>
      </c>
      <c r="D217" s="106">
        <f t="shared" si="26"/>
        <v>0.48735748892996877</v>
      </c>
      <c r="E217" s="60">
        <f>rate</f>
        <v>3.5145930840192463E-3</v>
      </c>
      <c r="F217" s="31">
        <f>IF(AND(B216&gt;=gracia,12*años+gracia-B216&gt;0,$L$2&lt;&gt;1),PMT(E216,12*años-B216+gracia,-J216),0)</f>
        <v>-21.169659704331632</v>
      </c>
      <c r="G217" s="31">
        <f>IF(AND(12*años+gracia-B216&gt;0,$L$2&lt;&gt;1),J216*E217,0)</f>
        <v>-10.146474700261878</v>
      </c>
      <c r="H217" s="31">
        <f>IF(AND(12*años+gracia-B216&gt;0,$L$2&lt;&gt;1),F217-G217,0)</f>
        <v>-11.023185004069754</v>
      </c>
      <c r="I217" s="62"/>
      <c r="J217" s="61">
        <f>J216-H217-I217</f>
        <v>-2875.9325614229087</v>
      </c>
      <c r="K217" s="61">
        <f>K216*(1+$J$17)^(1/12)</f>
        <v>11318.650738050761</v>
      </c>
      <c r="L217" s="31">
        <f t="shared" si="27"/>
        <v>16</v>
      </c>
      <c r="M217" s="31">
        <f t="shared" si="28"/>
        <v>-2.6666666666666661</v>
      </c>
      <c r="N217" s="31">
        <f t="shared" si="29"/>
        <v>-2.35</v>
      </c>
      <c r="O217" s="62"/>
      <c r="P217" s="31">
        <f>O217+N217+M217+L217+I217+F217</f>
        <v>-10.186326370998298</v>
      </c>
      <c r="Q217" s="31">
        <f>SUM($P$36:P217)</f>
        <v>-2337.9471149247088</v>
      </c>
      <c r="R217" s="83">
        <f t="shared" si="30"/>
        <v>-0.18320590488152641</v>
      </c>
      <c r="S217" s="31">
        <f>SUMPRODUCT($P$36:P217,$D$36:D217)/D217-Q217</f>
        <v>-1372.6172218265865</v>
      </c>
      <c r="T217" s="31">
        <f t="shared" si="24"/>
        <v>6104.7710617031435</v>
      </c>
      <c r="U217" s="31">
        <f t="shared" si="25"/>
        <v>6726.0110617031432</v>
      </c>
      <c r="V217" s="80" cm="1">
        <f t="array" ref="V217">IF($L$2&lt;&gt;1,IRR(IF(ROW($P$36:P217)=ROW(P217),P217+K217+J217,$P$36:P217),V216/12)*12,0)</f>
        <v>0.12284256035023589</v>
      </c>
      <c r="W217" s="83">
        <f>(1+V217/12)^(B217)-1</f>
        <v>5.318334750657491</v>
      </c>
    </row>
    <row r="218" spans="2:23" x14ac:dyDescent="0.25">
      <c r="B218" s="33">
        <v>182</v>
      </c>
      <c r="C218" s="105">
        <f t="shared" si="23"/>
        <v>3.9789301544717048E-3</v>
      </c>
      <c r="D218" s="106">
        <f t="shared" si="26"/>
        <v>0.48542601273015179</v>
      </c>
      <c r="E218" s="60">
        <f>rate</f>
        <v>3.5145930840192463E-3</v>
      </c>
      <c r="F218" s="31">
        <f>IF(AND(B217&gt;=gracia,12*años+gracia-B217&gt;0,$L$2&lt;&gt;1),PMT(E217,12*años-B217+gracia,-J217),0)</f>
        <v>-21.169659704331629</v>
      </c>
      <c r="G218" s="31">
        <f>IF(AND(12*años+gracia-B217&gt;0,$L$2&lt;&gt;1),J217*E218,0)</f>
        <v>-10.107732690482711</v>
      </c>
      <c r="H218" s="31">
        <f>IF(AND(12*años+gracia-B217&gt;0,$L$2&lt;&gt;1),F218-G218,0)</f>
        <v>-11.061927013848917</v>
      </c>
      <c r="I218" s="62"/>
      <c r="J218" s="61">
        <f>J217-H218-I218</f>
        <v>-2864.8706344090597</v>
      </c>
      <c r="K218" s="61">
        <f>K217*(1+$J$17)^(1/12)</f>
        <v>11373.744842849681</v>
      </c>
      <c r="L218" s="31">
        <f t="shared" si="27"/>
        <v>16</v>
      </c>
      <c r="M218" s="31">
        <f t="shared" si="28"/>
        <v>-2.6666666666666661</v>
      </c>
      <c r="N218" s="31">
        <f t="shared" si="29"/>
        <v>-2.35</v>
      </c>
      <c r="O218" s="62"/>
      <c r="P218" s="31">
        <f>O218+N218+M218+L218+I218+F218</f>
        <v>-10.186326370998295</v>
      </c>
      <c r="Q218" s="31">
        <f>SUM($P$36:P218)</f>
        <v>-2348.1334412957071</v>
      </c>
      <c r="R218" s="83">
        <f t="shared" si="30"/>
        <v>-0.18328038442388958</v>
      </c>
      <c r="S218" s="31">
        <f>SUMPRODUCT($P$36:P218,$D$36:D218)/D218-Q218</f>
        <v>-1387.3812981561937</v>
      </c>
      <c r="T218" s="31">
        <f t="shared" si="24"/>
        <v>6160.7407671449146</v>
      </c>
      <c r="U218" s="31">
        <f t="shared" si="25"/>
        <v>6781.9807671449144</v>
      </c>
      <c r="V218" s="80" cm="1">
        <f t="array" ref="V218">IF($L$2&lt;&gt;1,IRR(IF(ROW($P$36:P218)=ROW(P218),P218+K218+J218,$P$36:P218),V217/12)*12,0)</f>
        <v>0.12253664307496148</v>
      </c>
      <c r="W218" s="83">
        <f>(1+V218/12)^(B218)-1</f>
        <v>5.3537661691284946</v>
      </c>
    </row>
    <row r="219" spans="2:23" x14ac:dyDescent="0.25">
      <c r="B219" s="33">
        <v>183</v>
      </c>
      <c r="C219" s="105">
        <f t="shared" si="23"/>
        <v>3.9789301544717048E-3</v>
      </c>
      <c r="D219" s="106">
        <f t="shared" si="26"/>
        <v>0.48350219128150868</v>
      </c>
      <c r="E219" s="60">
        <f>rate</f>
        <v>3.5145930840192463E-3</v>
      </c>
      <c r="F219" s="31">
        <f>IF(AND(B218&gt;=gracia,12*años+gracia-B218&gt;0,$L$2&lt;&gt;1),PMT(E218,12*años-B218+gracia,-J218),0)</f>
        <v>-21.169659704331632</v>
      </c>
      <c r="G219" s="31">
        <f>IF(AND(12*años+gracia-B218&gt;0,$L$2&lt;&gt;1),J218*E219,0)</f>
        <v>-10.068854518303912</v>
      </c>
      <c r="H219" s="31">
        <f>IF(AND(12*años+gracia-B218&gt;0,$L$2&lt;&gt;1),F219-G219,0)</f>
        <v>-11.100805186027721</v>
      </c>
      <c r="I219" s="62"/>
      <c r="J219" s="61">
        <f>J218-H219-I219</f>
        <v>-2853.769829223032</v>
      </c>
      <c r="K219" s="61">
        <f>K218*(1+$J$17)^(1/12)</f>
        <v>11429.107120989562</v>
      </c>
      <c r="L219" s="31">
        <f t="shared" si="27"/>
        <v>16</v>
      </c>
      <c r="M219" s="31">
        <f t="shared" si="28"/>
        <v>-2.6666666666666661</v>
      </c>
      <c r="N219" s="31">
        <f t="shared" si="29"/>
        <v>-2.35</v>
      </c>
      <c r="O219" s="62"/>
      <c r="P219" s="31">
        <f>O219+N219+M219+L219+I219+F219</f>
        <v>-10.186326370998298</v>
      </c>
      <c r="Q219" s="31">
        <f>SUM($P$36:P219)</f>
        <v>-2358.3197676667055</v>
      </c>
      <c r="R219" s="83">
        <f t="shared" si="30"/>
        <v>-0.18335404998218324</v>
      </c>
      <c r="S219" s="31">
        <f>SUMPRODUCT($P$36:P219,$D$36:D219)/D219-Q219</f>
        <v>-1402.244650395472</v>
      </c>
      <c r="T219" s="31">
        <f t="shared" si="24"/>
        <v>6217.0175240998242</v>
      </c>
      <c r="U219" s="31">
        <f t="shared" si="25"/>
        <v>6838.257524099824</v>
      </c>
      <c r="V219" s="80" cm="1">
        <f t="array" ref="V219">IF($L$2&lt;&gt;1,IRR(IF(ROW($P$36:P219)=ROW(P219),P219+K219+J219,$P$36:P219),V218/12)*12,0)</f>
        <v>0.12223322260538261</v>
      </c>
      <c r="W219" s="83">
        <f>(1+V219/12)^(B219)-1</f>
        <v>5.3893138900795643</v>
      </c>
    </row>
    <row r="220" spans="2:23" x14ac:dyDescent="0.25">
      <c r="B220" s="33">
        <v>184</v>
      </c>
      <c r="C220" s="105">
        <f t="shared" si="23"/>
        <v>3.9789301544717048E-3</v>
      </c>
      <c r="D220" s="106">
        <f t="shared" si="26"/>
        <v>0.48158599424702792</v>
      </c>
      <c r="E220" s="60">
        <f>rate</f>
        <v>3.5145930840192463E-3</v>
      </c>
      <c r="F220" s="31">
        <f>IF(AND(B219&gt;=gracia,12*años+gracia-B219&gt;0,$L$2&lt;&gt;1),PMT(E219,12*años-B219+gracia,-J219),0)</f>
        <v>-21.169659704331629</v>
      </c>
      <c r="G220" s="31">
        <f>IF(AND(12*años+gracia-B219&gt;0,$L$2&lt;&gt;1),J219*E220,0)</f>
        <v>-10.029839705170055</v>
      </c>
      <c r="H220" s="31">
        <f>IF(AND(12*años+gracia-B219&gt;0,$L$2&lt;&gt;1),F220-G220,0)</f>
        <v>-11.139819999161574</v>
      </c>
      <c r="I220" s="62"/>
      <c r="J220" s="61">
        <f>J219-H220-I220</f>
        <v>-2842.6300092238703</v>
      </c>
      <c r="K220" s="61">
        <f>K219*(1+$J$17)^(1/12)</f>
        <v>11484.738877817701</v>
      </c>
      <c r="L220" s="31">
        <f t="shared" si="27"/>
        <v>16</v>
      </c>
      <c r="M220" s="31">
        <f t="shared" si="28"/>
        <v>-2.6666666666666661</v>
      </c>
      <c r="N220" s="31">
        <f t="shared" si="29"/>
        <v>-2.35</v>
      </c>
      <c r="O220" s="62"/>
      <c r="P220" s="31">
        <f>O220+N220+M220+L220+I220+F220</f>
        <v>-10.186326370998295</v>
      </c>
      <c r="Q220" s="31">
        <f>SUM($P$36:P220)</f>
        <v>-2368.5060940377039</v>
      </c>
      <c r="R220" s="83">
        <f t="shared" si="30"/>
        <v>-0.18342691482788673</v>
      </c>
      <c r="S220" s="31">
        <f>SUMPRODUCT($P$36:P220,$D$36:D220)/D220-Q220</f>
        <v>-1417.2076735563328</v>
      </c>
      <c r="T220" s="31">
        <f t="shared" si="24"/>
        <v>6273.6027745561269</v>
      </c>
      <c r="U220" s="31">
        <f t="shared" si="25"/>
        <v>6894.8427745561266</v>
      </c>
      <c r="V220" s="80" cm="1">
        <f t="array" ref="V220">IF($L$2&lt;&gt;1,IRR(IF(ROW($P$36:P220)=ROW(P220),P220+K220+J220,$P$36:P220),V219/12)*12,0)</f>
        <v>0.12193226961730552</v>
      </c>
      <c r="W220" s="83">
        <f>(1+V220/12)^(B220)-1</f>
        <v>5.4249787610641862</v>
      </c>
    </row>
    <row r="221" spans="2:23" x14ac:dyDescent="0.25">
      <c r="B221" s="33">
        <v>185</v>
      </c>
      <c r="C221" s="105">
        <f t="shared" si="23"/>
        <v>3.9789301544717048E-3</v>
      </c>
      <c r="D221" s="106">
        <f t="shared" si="26"/>
        <v>0.4796773914099286</v>
      </c>
      <c r="E221" s="60">
        <f>rate</f>
        <v>3.5145930840192463E-3</v>
      </c>
      <c r="F221" s="31">
        <f>IF(AND(B220&gt;=gracia,12*años+gracia-B220&gt;0,$L$2&lt;&gt;1),PMT(E220,12*años-B220+gracia,-J220),0)</f>
        <v>-21.169659704331629</v>
      </c>
      <c r="G221" s="31">
        <f>IF(AND(12*años+gracia-B220&gt;0,$L$2&lt;&gt;1),J220*E221,0)</f>
        <v>-9.9906877708437811</v>
      </c>
      <c r="H221" s="31">
        <f>IF(AND(12*años+gracia-B220&gt;0,$L$2&lt;&gt;1),F221-G221,0)</f>
        <v>-11.178971933487848</v>
      </c>
      <c r="I221" s="62"/>
      <c r="J221" s="61">
        <f>J220-H221-I221</f>
        <v>-2831.4510372903824</v>
      </c>
      <c r="K221" s="61">
        <f>K220*(1+$J$17)^(1/12)</f>
        <v>11540.641425035239</v>
      </c>
      <c r="L221" s="31">
        <f t="shared" si="27"/>
        <v>16</v>
      </c>
      <c r="M221" s="31">
        <f t="shared" si="28"/>
        <v>-2.6666666666666661</v>
      </c>
      <c r="N221" s="31">
        <f t="shared" si="29"/>
        <v>-2.35</v>
      </c>
      <c r="O221" s="62"/>
      <c r="P221" s="31">
        <f>O221+N221+M221+L221+I221+F221</f>
        <v>-10.186326370998295</v>
      </c>
      <c r="Q221" s="31">
        <f>SUM($P$36:P221)</f>
        <v>-2378.6924204087022</v>
      </c>
      <c r="R221" s="83">
        <f t="shared" si="30"/>
        <v>-0.18349899194552852</v>
      </c>
      <c r="S221" s="31">
        <f>SUMPRODUCT($P$36:P221,$D$36:D221)/D221-Q221</f>
        <v>-1432.2707642224118</v>
      </c>
      <c r="T221" s="31">
        <f t="shared" si="24"/>
        <v>6330.497967336154</v>
      </c>
      <c r="U221" s="31">
        <f t="shared" si="25"/>
        <v>6951.7379673361538</v>
      </c>
      <c r="V221" s="80" cm="1">
        <f t="array" ref="V221">IF($L$2&lt;&gt;1,IRR(IF(ROW($P$36:P221)=ROW(P221),P221+K221+J221,$P$36:P221),V220/12)*12,0)</f>
        <v>0.12163375522949949</v>
      </c>
      <c r="W221" s="83">
        <f>(1+V221/12)^(B221)-1</f>
        <v>5.4607616296218513</v>
      </c>
    </row>
    <row r="222" spans="2:23" x14ac:dyDescent="0.25">
      <c r="B222" s="33">
        <v>186</v>
      </c>
      <c r="C222" s="105">
        <f t="shared" si="23"/>
        <v>3.9789301544717048E-3</v>
      </c>
      <c r="D222" s="106">
        <f t="shared" si="26"/>
        <v>0.47777635267318375</v>
      </c>
      <c r="E222" s="60">
        <f>rate</f>
        <v>3.5145930840192463E-3</v>
      </c>
      <c r="F222" s="31">
        <f>IF(AND(B221&gt;=gracia,12*años+gracia-B221&gt;0,$L$2&lt;&gt;1),PMT(E221,12*años-B221+gracia,-J221),0)</f>
        <v>-21.169659704331632</v>
      </c>
      <c r="G222" s="31">
        <f>IF(AND(12*años+gracia-B221&gt;0,$L$2&lt;&gt;1),J221*E222,0)</f>
        <v>-9.9513982333998996</v>
      </c>
      <c r="H222" s="31">
        <f>IF(AND(12*años+gracia-B221&gt;0,$L$2&lt;&gt;1),F222-G222,0)</f>
        <v>-11.218261470931733</v>
      </c>
      <c r="I222" s="62"/>
      <c r="J222" s="61">
        <f>J221-H222-I222</f>
        <v>-2820.2327758194506</v>
      </c>
      <c r="K222" s="61">
        <f>K221*(1+$J$17)^(1/12)</f>
        <v>11596.816080728091</v>
      </c>
      <c r="L222" s="31">
        <f t="shared" si="27"/>
        <v>16</v>
      </c>
      <c r="M222" s="31">
        <f t="shared" si="28"/>
        <v>-2.6666666666666661</v>
      </c>
      <c r="N222" s="31">
        <f t="shared" si="29"/>
        <v>-2.35</v>
      </c>
      <c r="O222" s="62"/>
      <c r="P222" s="31">
        <f>O222+N222+M222+L222+I222+F222</f>
        <v>-10.186326370998298</v>
      </c>
      <c r="Q222" s="31">
        <f>SUM($P$36:P222)</f>
        <v>-2388.8787467797006</v>
      </c>
      <c r="R222" s="83">
        <f t="shared" si="30"/>
        <v>-0.18357029404040001</v>
      </c>
      <c r="S222" s="31">
        <f>SUMPRODUCT($P$36:P222,$D$36:D222)/D222-Q222</f>
        <v>-1447.4343205553223</v>
      </c>
      <c r="T222" s="31">
        <f t="shared" si="24"/>
        <v>6387.7045581289403</v>
      </c>
      <c r="U222" s="31">
        <f t="shared" si="25"/>
        <v>7008.9445581289401</v>
      </c>
      <c r="V222" s="80" cm="1">
        <f t="array" ref="V222">IF($L$2&lt;&gt;1,IRR(IF(ROW($P$36:P222)=ROW(P222),P222+K222+J222,$P$36:P222),V221/12)*12,0)</f>
        <v>0.12133765099585503</v>
      </c>
      <c r="W222" s="83">
        <f>(1+V222/12)^(B222)-1</f>
        <v>5.4966633433433998</v>
      </c>
    </row>
    <row r="223" spans="2:23" x14ac:dyDescent="0.25">
      <c r="B223" s="33">
        <v>187</v>
      </c>
      <c r="C223" s="105">
        <f t="shared" si="23"/>
        <v>3.9789301544717048E-3</v>
      </c>
      <c r="D223" s="106">
        <f t="shared" si="26"/>
        <v>0.47588284805904574</v>
      </c>
      <c r="E223" s="60">
        <f>rate</f>
        <v>3.5145930840192463E-3</v>
      </c>
      <c r="F223" s="31">
        <f>IF(AND(B222&gt;=gracia,12*años+gracia-B222&gt;0,$L$2&lt;&gt;1),PMT(E222,12*años-B222+gracia,-J222),0)</f>
        <v>-21.169659704331629</v>
      </c>
      <c r="G223" s="31">
        <f>IF(AND(12*años+gracia-B222&gt;0,$L$2&lt;&gt;1),J222*E223,0)</f>
        <v>-9.9119706092194431</v>
      </c>
      <c r="H223" s="31">
        <f>IF(AND(12*años+gracia-B222&gt;0,$L$2&lt;&gt;1),F223-G223,0)</f>
        <v>-11.257689095112186</v>
      </c>
      <c r="I223" s="62"/>
      <c r="J223" s="61">
        <f>J222-H223-I223</f>
        <v>-2808.9750867243383</v>
      </c>
      <c r="K223" s="61">
        <f>K222*(1+$J$17)^(1/12)</f>
        <v>11653.264169398019</v>
      </c>
      <c r="L223" s="31">
        <f t="shared" si="27"/>
        <v>16</v>
      </c>
      <c r="M223" s="31">
        <f t="shared" si="28"/>
        <v>-2.6666666666666661</v>
      </c>
      <c r="N223" s="31">
        <f t="shared" si="29"/>
        <v>-2.35</v>
      </c>
      <c r="O223" s="62"/>
      <c r="P223" s="31">
        <f>O223+N223+M223+L223+I223+F223</f>
        <v>-10.186326370998295</v>
      </c>
      <c r="Q223" s="31">
        <f>SUM($P$36:P223)</f>
        <v>-2399.0650731506989</v>
      </c>
      <c r="R223" s="83">
        <f t="shared" si="30"/>
        <v>-0.18364083354602154</v>
      </c>
      <c r="S223" s="31">
        <f>SUMPRODUCT($P$36:P223,$D$36:D223)/D223-Q223</f>
        <v>-1462.6987423009355</v>
      </c>
      <c r="T223" s="31">
        <f t="shared" si="24"/>
        <v>6445.2240095229809</v>
      </c>
      <c r="U223" s="31">
        <f t="shared" si="25"/>
        <v>7066.4640095229806</v>
      </c>
      <c r="V223" s="80" cm="1">
        <f t="array" ref="V223">IF($L$2&lt;&gt;1,IRR(IF(ROW($P$36:P223)=ROW(P223),P223+K223+J223,$P$36:P223),V222/12)*12,0)</f>
        <v>0.12104392889764881</v>
      </c>
      <c r="W223" s="83">
        <f>(1+V223/12)^(B223)-1</f>
        <v>5.5326847499303256</v>
      </c>
    </row>
    <row r="224" spans="2:23" x14ac:dyDescent="0.25">
      <c r="B224" s="33">
        <v>188</v>
      </c>
      <c r="C224" s="105">
        <f t="shared" si="23"/>
        <v>3.9789301544717048E-3</v>
      </c>
      <c r="D224" s="106">
        <f t="shared" si="26"/>
        <v>0.47399684770857359</v>
      </c>
      <c r="E224" s="60">
        <f>rate</f>
        <v>3.5145930840192463E-3</v>
      </c>
      <c r="F224" s="31">
        <f>IF(AND(B223&gt;=gracia,12*años+gracia-B223&gt;0,$L$2&lt;&gt;1),PMT(E223,12*años-B223+gracia,-J223),0)</f>
        <v>-21.169659704331629</v>
      </c>
      <c r="G224" s="31">
        <f>IF(AND(12*años+gracia-B223&gt;0,$L$2&lt;&gt;1),J223*E224,0)</f>
        <v>-9.8724044129837214</v>
      </c>
      <c r="H224" s="31">
        <f>IF(AND(12*años+gracia-B223&gt;0,$L$2&lt;&gt;1),F224-G224,0)</f>
        <v>-11.297255291347907</v>
      </c>
      <c r="I224" s="62"/>
      <c r="J224" s="61">
        <f>J223-H224-I224</f>
        <v>-2797.6778314329904</v>
      </c>
      <c r="K224" s="61">
        <f>K223*(1+$J$17)^(1/12)</f>
        <v>11709.987021993864</v>
      </c>
      <c r="L224" s="31">
        <f t="shared" si="27"/>
        <v>16</v>
      </c>
      <c r="M224" s="31">
        <f t="shared" si="28"/>
        <v>-2.6666666666666661</v>
      </c>
      <c r="N224" s="31">
        <f t="shared" si="29"/>
        <v>-2.35</v>
      </c>
      <c r="O224" s="62"/>
      <c r="P224" s="31">
        <f>O224+N224+M224+L224+I224+F224</f>
        <v>-10.186326370998295</v>
      </c>
      <c r="Q224" s="31">
        <f>SUM($P$36:P224)</f>
        <v>-2409.2513995216973</v>
      </c>
      <c r="R224" s="83">
        <f t="shared" si="30"/>
        <v>-0.18371062263137047</v>
      </c>
      <c r="S224" s="31">
        <f>SUMPRODUCT($P$36:P224,$D$36:D224)/D224-Q224</f>
        <v>-1478.0644307956836</v>
      </c>
      <c r="T224" s="31">
        <f t="shared" si="24"/>
        <v>6503.0577910391767</v>
      </c>
      <c r="U224" s="31">
        <f t="shared" si="25"/>
        <v>7124.2977910391764</v>
      </c>
      <c r="V224" s="80" cm="1">
        <f t="array" ref="V224">IF($L$2&lt;&gt;1,IRR(IF(ROW($P$36:P224)=ROW(P224),P224+K224+J224,$P$36:P224),V223/12)*12,0)</f>
        <v>0.12075256133598966</v>
      </c>
      <c r="W224" s="83">
        <f>(1+V224/12)^(B224)-1</f>
        <v>5.5688266972569798</v>
      </c>
    </row>
    <row r="225" spans="2:23" x14ac:dyDescent="0.25">
      <c r="B225" s="33">
        <v>189</v>
      </c>
      <c r="C225" s="105">
        <f t="shared" si="23"/>
        <v>3.9789301544717048E-3</v>
      </c>
      <c r="D225" s="106">
        <f t="shared" si="26"/>
        <v>0.47211832188116204</v>
      </c>
      <c r="E225" s="60">
        <f>rate</f>
        <v>3.5145930840192463E-3</v>
      </c>
      <c r="F225" s="31">
        <f>IF(AND(B224&gt;=gracia,12*años+gracia-B224&gt;0,$L$2&lt;&gt;1),PMT(E224,12*años-B224+gracia,-J224),0)</f>
        <v>-21.169659704331629</v>
      </c>
      <c r="G225" s="31">
        <f>IF(AND(12*años+gracia-B224&gt;0,$L$2&lt;&gt;1),J224*E225,0)</f>
        <v>-9.8326991576683511</v>
      </c>
      <c r="H225" s="31">
        <f>IF(AND(12*años+gracia-B224&gt;0,$L$2&lt;&gt;1),F225-G225,0)</f>
        <v>-11.336960546663278</v>
      </c>
      <c r="I225" s="62"/>
      <c r="J225" s="61">
        <f>J224-H225-I225</f>
        <v>-2786.3408708863271</v>
      </c>
      <c r="K225" s="61">
        <f>K224*(1+$J$17)^(1/12)</f>
        <v>11766.985975942929</v>
      </c>
      <c r="L225" s="31">
        <f t="shared" si="27"/>
        <v>16</v>
      </c>
      <c r="M225" s="31">
        <f t="shared" si="28"/>
        <v>-2.6666666666666661</v>
      </c>
      <c r="N225" s="31">
        <f t="shared" si="29"/>
        <v>-2.35</v>
      </c>
      <c r="O225" s="62"/>
      <c r="P225" s="31">
        <f>O225+N225+M225+L225+I225+F225</f>
        <v>-10.186326370998295</v>
      </c>
      <c r="Q225" s="31">
        <f>SUM($P$36:P225)</f>
        <v>-2419.4377258926957</v>
      </c>
      <c r="R225" s="83">
        <f t="shared" si="30"/>
        <v>-0.18377967320787972</v>
      </c>
      <c r="S225" s="31">
        <f>SUMPRODUCT($P$36:P225,$D$36:D225)/D225-Q225</f>
        <v>-1493.5317889728885</v>
      </c>
      <c r="T225" s="31">
        <f t="shared" si="24"/>
        <v>6561.2073791639068</v>
      </c>
      <c r="U225" s="31">
        <f t="shared" si="25"/>
        <v>7182.4473791639066</v>
      </c>
      <c r="V225" s="80" cm="1">
        <f t="array" ref="V225">IF($L$2&lt;&gt;1,IRR(IF(ROW($P$36:P225)=ROW(P225),P225+K225+J225,$P$36:P225),V224/12)*12,0)</f>
        <v>0.12046352112439518</v>
      </c>
      <c r="W225" s="83">
        <f>(1+V225/12)^(B225)-1</f>
        <v>5.6050900334307006</v>
      </c>
    </row>
    <row r="226" spans="2:23" x14ac:dyDescent="0.25">
      <c r="B226" s="33">
        <v>190</v>
      </c>
      <c r="C226" s="105">
        <f t="shared" si="23"/>
        <v>3.9789301544717048E-3</v>
      </c>
      <c r="D226" s="106">
        <f t="shared" si="26"/>
        <v>0.47024724095407278</v>
      </c>
      <c r="E226" s="60">
        <f>rate</f>
        <v>3.5145930840192463E-3</v>
      </c>
      <c r="F226" s="31">
        <f>IF(AND(B225&gt;=gracia,12*años+gracia-B225&gt;0,$L$2&lt;&gt;1),PMT(E225,12*años-B225+gracia,-J225),0)</f>
        <v>-21.169659704331629</v>
      </c>
      <c r="G226" s="31">
        <f>IF(AND(12*años+gracia-B225&gt;0,$L$2&lt;&gt;1),J225*E226,0)</f>
        <v>-9.7928543545372495</v>
      </c>
      <c r="H226" s="31">
        <f>IF(AND(12*años+gracia-B225&gt;0,$L$2&lt;&gt;1),F226-G226,0)</f>
        <v>-11.376805349794379</v>
      </c>
      <c r="I226" s="62"/>
      <c r="J226" s="61">
        <f>J225-H226-I226</f>
        <v>-2774.9640655365329</v>
      </c>
      <c r="K226" s="61">
        <f>K225*(1+$J$17)^(1/12)</f>
        <v>11824.262375182514</v>
      </c>
      <c r="L226" s="31">
        <f t="shared" si="27"/>
        <v>16</v>
      </c>
      <c r="M226" s="31">
        <f t="shared" si="28"/>
        <v>-2.6666666666666661</v>
      </c>
      <c r="N226" s="31">
        <f t="shared" si="29"/>
        <v>-2.35</v>
      </c>
      <c r="O226" s="62"/>
      <c r="P226" s="31">
        <f>O226+N226+M226+L226+I226+F226</f>
        <v>-10.186326370998295</v>
      </c>
      <c r="Q226" s="31">
        <f>SUM($P$36:P226)</f>
        <v>-2429.624052263694</v>
      </c>
      <c r="R226" s="83">
        <f t="shared" si="30"/>
        <v>-0.18384799693621526</v>
      </c>
      <c r="S226" s="31">
        <f>SUMPRODUCT($P$36:P226,$D$36:D226)/D226-Q226</f>
        <v>-1509.1012213691156</v>
      </c>
      <c r="T226" s="31">
        <f t="shared" si="24"/>
        <v>6619.6742573822867</v>
      </c>
      <c r="U226" s="31">
        <f t="shared" si="25"/>
        <v>7240.9142573822865</v>
      </c>
      <c r="V226" s="80" cm="1">
        <f t="array" ref="V226">IF($L$2&lt;&gt;1,IRR(IF(ROW($P$36:P226)=ROW(P226),P226+K226+J226,$P$36:P226),V225/12)*12,0)</f>
        <v>0.12017678148149624</v>
      </c>
      <c r="W226" s="83">
        <f>(1+V226/12)^(B226)-1</f>
        <v>5.6414756068491378</v>
      </c>
    </row>
    <row r="227" spans="2:23" x14ac:dyDescent="0.25">
      <c r="B227" s="33">
        <v>191</v>
      </c>
      <c r="C227" s="105">
        <f t="shared" si="23"/>
        <v>3.9789301544717048E-3</v>
      </c>
      <c r="D227" s="106">
        <f t="shared" si="26"/>
        <v>0.46838357542196701</v>
      </c>
      <c r="E227" s="60">
        <f>rate</f>
        <v>3.5145930840192463E-3</v>
      </c>
      <c r="F227" s="31">
        <f>IF(AND(B226&gt;=gracia,12*años+gracia-B226&gt;0,$L$2&lt;&gt;1),PMT(E226,12*años-B226+gracia,-J226),0)</f>
        <v>-21.169659704331632</v>
      </c>
      <c r="G227" s="31">
        <f>IF(AND(12*años+gracia-B226&gt;0,$L$2&lt;&gt;1),J226*E227,0)</f>
        <v>-9.7528695131366288</v>
      </c>
      <c r="H227" s="31">
        <f>IF(AND(12*años+gracia-B226&gt;0,$L$2&lt;&gt;1),F227-G227,0)</f>
        <v>-11.416790191195004</v>
      </c>
      <c r="I227" s="62"/>
      <c r="J227" s="61">
        <f>J226-H227-I227</f>
        <v>-2763.5472753453378</v>
      </c>
      <c r="K227" s="61">
        <f>K226*(1+$J$17)^(1/12)</f>
        <v>11881.817570191599</v>
      </c>
      <c r="L227" s="31">
        <f t="shared" si="27"/>
        <v>16</v>
      </c>
      <c r="M227" s="31">
        <f t="shared" si="28"/>
        <v>-2.6666666666666661</v>
      </c>
      <c r="N227" s="31">
        <f t="shared" si="29"/>
        <v>-2.35</v>
      </c>
      <c r="O227" s="62"/>
      <c r="P227" s="31">
        <f>O227+N227+M227+L227+I227+F227</f>
        <v>-10.186326370998298</v>
      </c>
      <c r="Q227" s="31">
        <f>SUM($P$36:P227)</f>
        <v>-2439.8103786346924</v>
      </c>
      <c r="R227" s="83">
        <f t="shared" si="30"/>
        <v>-0.18391560523284042</v>
      </c>
      <c r="S227" s="31">
        <f>SUMPRODUCT($P$36:P227,$D$36:D227)/D227-Q227</f>
        <v>-1524.773134130553</v>
      </c>
      <c r="T227" s="31">
        <f t="shared" si="24"/>
        <v>6678.4599162115683</v>
      </c>
      <c r="U227" s="31">
        <f t="shared" si="25"/>
        <v>7299.6999162115681</v>
      </c>
      <c r="V227" s="80" cm="1">
        <f t="array" ref="V227">IF($L$2&lt;&gt;1,IRR(IF(ROW($P$36:P227)=ROW(P227),P227+K227+J227,$P$36:P227),V226/12)*12,0)</f>
        <v>0.11989231602390671</v>
      </c>
      <c r="W227" s="83">
        <f>(1+V227/12)^(B227)-1</f>
        <v>5.6779842662601787</v>
      </c>
    </row>
    <row r="228" spans="2:23" x14ac:dyDescent="0.25">
      <c r="B228" s="33">
        <v>192</v>
      </c>
      <c r="C228" s="105">
        <f t="shared" si="23"/>
        <v>3.9789301544717048E-3</v>
      </c>
      <c r="D228" s="106">
        <f t="shared" si="26"/>
        <v>0.46652729589644054</v>
      </c>
      <c r="E228" s="60">
        <f>rate</f>
        <v>3.5145930840192463E-3</v>
      </c>
      <c r="F228" s="31">
        <f>IF(AND(B227&gt;=gracia,12*años+gracia-B227&gt;0,$L$2&lt;&gt;1),PMT(E227,12*años-B227+gracia,-J227),0)</f>
        <v>-21.169659704331629</v>
      </c>
      <c r="G228" s="31">
        <f>IF(AND(12*años+gracia-B227&gt;0,$L$2&lt;&gt;1),J227*E228,0)</f>
        <v>-9.7127441412889564</v>
      </c>
      <c r="H228" s="31">
        <f>IF(AND(12*años+gracia-B227&gt;0,$L$2&lt;&gt;1),F228-G228,0)</f>
        <v>-11.456915563042672</v>
      </c>
      <c r="I228" s="62"/>
      <c r="J228" s="61">
        <f>J227-H228-I228</f>
        <v>-2752.0903597822953</v>
      </c>
      <c r="K228" s="61">
        <f>K227*(1+$J$17)^(1/12)</f>
        <v>11939.652918022688</v>
      </c>
      <c r="L228" s="31">
        <f t="shared" si="27"/>
        <v>16</v>
      </c>
      <c r="M228" s="31">
        <f t="shared" si="28"/>
        <v>-2.6666666666666661</v>
      </c>
      <c r="N228" s="31">
        <f t="shared" si="29"/>
        <v>-2.35</v>
      </c>
      <c r="O228" s="62"/>
      <c r="P228" s="31">
        <f>O228+N228+M228+L228+I228+F228</f>
        <v>-10.186326370998295</v>
      </c>
      <c r="Q228" s="31">
        <f>SUM($P$36:P228)</f>
        <v>-2449.9967050056907</v>
      </c>
      <c r="R228" s="83">
        <f t="shared" si="30"/>
        <v>-0.18398250927637577</v>
      </c>
      <c r="S228" s="31">
        <f>SUMPRODUCT($P$36:P228,$D$36:D228)/D228-Q228</f>
        <v>-1540.5479350194159</v>
      </c>
      <c r="T228" s="31">
        <f t="shared" si="24"/>
        <v>6737.5658532347024</v>
      </c>
      <c r="U228" s="31">
        <f t="shared" si="25"/>
        <v>7358.8058532347022</v>
      </c>
      <c r="V228" s="80" cm="1">
        <f t="array" ref="V228">IF($L$2&lt;&gt;1,IRR(IF(ROW($P$36:P228)=ROW(P228),P228+K228+J228,$P$36:P228),V227/12)*12,0)</f>
        <v>0.11961009875921036</v>
      </c>
      <c r="W228" s="83">
        <f>(1+V228/12)^(B228)-1</f>
        <v>5.7146168608190102</v>
      </c>
    </row>
    <row r="229" spans="2:23" x14ac:dyDescent="0.25">
      <c r="B229" s="33">
        <v>193</v>
      </c>
      <c r="C229" s="105">
        <f t="shared" ref="C229:C292" si="31">(1+$E$3/360)^30-1-((1+$E$4)^(1/12)-1)</f>
        <v>3.9789301544717048E-3</v>
      </c>
      <c r="D229" s="106">
        <f t="shared" si="26"/>
        <v>0.46467837310555998</v>
      </c>
      <c r="E229" s="60">
        <f>rate</f>
        <v>3.5145930840192463E-3</v>
      </c>
      <c r="F229" s="31">
        <f>IF(AND(B228&gt;=gracia,12*años+gracia-B228&gt;0,$L$2&lt;&gt;1),PMT(E228,12*años-B228+gracia,-J228),0)</f>
        <v>-21.169659704331629</v>
      </c>
      <c r="G229" s="31">
        <f>IF(AND(12*años+gracia-B228&gt;0,$L$2&lt;&gt;1),J228*E229,0)</f>
        <v>-9.6724777450868942</v>
      </c>
      <c r="H229" s="31">
        <f>IF(AND(12*años+gracia-B228&gt;0,$L$2&lt;&gt;1),F229-G229,0)</f>
        <v>-11.497181959244735</v>
      </c>
      <c r="I229" s="62"/>
      <c r="J229" s="61">
        <f>J228-H229-I229</f>
        <v>-2740.5931778230506</v>
      </c>
      <c r="K229" s="61">
        <f>K228*(1+$J$17)^(1/12)</f>
        <v>11997.769782333809</v>
      </c>
      <c r="L229" s="31">
        <f t="shared" si="27"/>
        <v>16</v>
      </c>
      <c r="M229" s="31">
        <f t="shared" si="28"/>
        <v>-2.6666666666666661</v>
      </c>
      <c r="N229" s="31">
        <f t="shared" si="29"/>
        <v>-2.35</v>
      </c>
      <c r="O229" s="62"/>
      <c r="P229" s="31">
        <f>O229+N229+M229+L229+I229+F229</f>
        <v>-10.186326370998295</v>
      </c>
      <c r="Q229" s="31">
        <f>SUM($P$36:P229)</f>
        <v>-2460.1830313766891</v>
      </c>
      <c r="R229" s="83">
        <f t="shared" si="30"/>
        <v>-0.18404872001376044</v>
      </c>
      <c r="S229" s="31">
        <f>SUMPRODUCT($P$36:P229,$D$36:D229)/D229-Q229</f>
        <v>-1556.4260334203773</v>
      </c>
      <c r="T229" s="31">
        <f t="shared" ref="T229:T292" si="32">Q229+J229+K229</f>
        <v>6796.9935731340702</v>
      </c>
      <c r="U229" s="31">
        <f t="shared" ref="U229:U292" si="33">IF($L$2&lt;&gt;1,T229+$E$30,T229)</f>
        <v>7418.23357313407</v>
      </c>
      <c r="V229" s="80" cm="1">
        <f t="array" ref="V229">IF($L$2&lt;&gt;1,IRR(IF(ROW($P$36:P229)=ROW(P229),P229+K229+J229,$P$36:P229),V228/12)*12,0)</f>
        <v>0.1193301040790784</v>
      </c>
      <c r="W229" s="83">
        <f>(1+V229/12)^(B229)-1</f>
        <v>5.7513742401436714</v>
      </c>
    </row>
    <row r="230" spans="2:23" x14ac:dyDescent="0.25">
      <c r="B230" s="33">
        <v>194</v>
      </c>
      <c r="C230" s="105">
        <f t="shared" si="31"/>
        <v>3.9789301544717048E-3</v>
      </c>
      <c r="D230" s="106">
        <f t="shared" ref="D230:D293" si="34">D229/(1+C230)</f>
        <v>0.46283677789340139</v>
      </c>
      <c r="E230" s="60">
        <f>rate</f>
        <v>3.5145930840192463E-3</v>
      </c>
      <c r="F230" s="31">
        <f>IF(AND(B229&gt;=gracia,12*años+gracia-B229&gt;0,$L$2&lt;&gt;1),PMT(E229,12*años-B229+gracia,-J229),0)</f>
        <v>-21.169659704331629</v>
      </c>
      <c r="G230" s="31">
        <f>IF(AND(12*años+gracia-B229&gt;0,$L$2&lt;&gt;1),J229*E230,0)</f>
        <v>-9.6320698288872215</v>
      </c>
      <c r="H230" s="31">
        <f>IF(AND(12*años+gracia-B229&gt;0,$L$2&lt;&gt;1),F230-G230,0)</f>
        <v>-11.537589875444407</v>
      </c>
      <c r="I230" s="62"/>
      <c r="J230" s="61">
        <f>J229-H230-I230</f>
        <v>-2729.055587947606</v>
      </c>
      <c r="K230" s="61">
        <f>K229*(1+$J$17)^(1/12)</f>
        <v>12056.169533420663</v>
      </c>
      <c r="L230" s="31">
        <f t="shared" ref="L230:L293" si="35">IF($L$2=3,$J$7*$J$16,0)</f>
        <v>16</v>
      </c>
      <c r="M230" s="31">
        <f t="shared" ref="M230:M293" si="36">-$J$28</f>
        <v>-2.6666666666666661</v>
      </c>
      <c r="N230" s="31">
        <f t="shared" ref="N230:N293" si="37">IF($L$2&lt;&gt;1,-$E$17-$E$18,0)</f>
        <v>-2.35</v>
      </c>
      <c r="O230" s="62"/>
      <c r="P230" s="31">
        <f>O230+N230+M230+L230+I230+F230</f>
        <v>-10.186326370998295</v>
      </c>
      <c r="Q230" s="31">
        <f>SUM($P$36:P230)</f>
        <v>-2470.3693577476874</v>
      </c>
      <c r="R230" s="83">
        <f t="shared" ref="R230:R293" si="38">IF($L$2&lt;&gt;1,-(Q230-$Q$36)/B230*12/$P$36,0)</f>
        <v>-0.18411424816622368</v>
      </c>
      <c r="S230" s="31">
        <f>SUMPRODUCT($P$36:P230,$D$36:D230)/D230-Q230</f>
        <v>-1572.4078403470226</v>
      </c>
      <c r="T230" s="31">
        <f t="shared" si="32"/>
        <v>6856.7445877253704</v>
      </c>
      <c r="U230" s="31">
        <f t="shared" si="33"/>
        <v>7477.9845877253701</v>
      </c>
      <c r="V230" s="80" cm="1">
        <f t="array" ref="V230">IF($L$2&lt;&gt;1,IRR(IF(ROW($P$36:P230)=ROW(P230),P230+K230+J230,$P$36:P230),V229/12)*12,0)</f>
        <v>0.11905230675253886</v>
      </c>
      <c r="W230" s="83">
        <f>(1+V230/12)^(B230)-1</f>
        <v>5.7882572543717812</v>
      </c>
    </row>
    <row r="231" spans="2:23" x14ac:dyDescent="0.25">
      <c r="B231" s="33">
        <v>195</v>
      </c>
      <c r="C231" s="105">
        <f t="shared" si="31"/>
        <v>3.9789301544717048E-3</v>
      </c>
      <c r="D231" s="106">
        <f t="shared" si="34"/>
        <v>0.46100248121959048</v>
      </c>
      <c r="E231" s="60">
        <f>rate</f>
        <v>3.5145930840192463E-3</v>
      </c>
      <c r="F231" s="31">
        <f>IF(AND(B230&gt;=gracia,12*años+gracia-B230&gt;0,$L$2&lt;&gt;1),PMT(E230,12*años-B230+gracia,-J230),0)</f>
        <v>-21.169659704331629</v>
      </c>
      <c r="G231" s="31">
        <f>IF(AND(12*años+gracia-B230&gt;0,$L$2&lt;&gt;1),J230*E231,0)</f>
        <v>-9.5915198953047334</v>
      </c>
      <c r="H231" s="31">
        <f>IF(AND(12*años+gracia-B230&gt;0,$L$2&lt;&gt;1),F231-G231,0)</f>
        <v>-11.578139809026895</v>
      </c>
      <c r="I231" s="62"/>
      <c r="J231" s="61">
        <f>J230-H231-I231</f>
        <v>-2717.4774481385789</v>
      </c>
      <c r="K231" s="61">
        <f>K230*(1+$J$17)^(1/12)</f>
        <v>12114.853548248937</v>
      </c>
      <c r="L231" s="31">
        <f t="shared" si="35"/>
        <v>16</v>
      </c>
      <c r="M231" s="31">
        <f t="shared" si="36"/>
        <v>-2.6666666666666661</v>
      </c>
      <c r="N231" s="31">
        <f t="shared" si="37"/>
        <v>-2.35</v>
      </c>
      <c r="O231" s="62"/>
      <c r="P231" s="31">
        <f>O231+N231+M231+L231+I231+F231</f>
        <v>-10.186326370998295</v>
      </c>
      <c r="Q231" s="31">
        <f>SUM($P$36:P231)</f>
        <v>-2480.5556841186858</v>
      </c>
      <c r="R231" s="83">
        <f t="shared" si="38"/>
        <v>-0.18417910423507183</v>
      </c>
      <c r="S231" s="31">
        <f>SUMPRODUCT($P$36:P231,$D$36:D231)/D231-Q231</f>
        <v>-1588.4937684483325</v>
      </c>
      <c r="T231" s="31">
        <f t="shared" si="32"/>
        <v>6916.8204159916722</v>
      </c>
      <c r="U231" s="31">
        <f t="shared" si="33"/>
        <v>7538.060415991672</v>
      </c>
      <c r="V231" s="80" cm="1">
        <f t="array" ref="V231">IF($L$2&lt;&gt;1,IRR(IF(ROW($P$36:P231)=ROW(P231),P231+K231+J231,$P$36:P231),V230/12)*12,0)</f>
        <v>0.1187766819193552</v>
      </c>
      <c r="W231" s="83">
        <f>(1+V231/12)^(B231)-1</f>
        <v>5.8252667542155061</v>
      </c>
    </row>
    <row r="232" spans="2:23" x14ac:dyDescent="0.25">
      <c r="B232" s="33">
        <v>196</v>
      </c>
      <c r="C232" s="105">
        <f t="shared" si="31"/>
        <v>3.9789301544717048E-3</v>
      </c>
      <c r="D232" s="106">
        <f t="shared" si="34"/>
        <v>0.45917545415884459</v>
      </c>
      <c r="E232" s="60">
        <f>rate</f>
        <v>3.5145930840192463E-3</v>
      </c>
      <c r="F232" s="31">
        <f>IF(AND(B231&gt;=gracia,12*años+gracia-B231&gt;0,$L$2&lt;&gt;1),PMT(E231,12*años-B231+gracia,-J231),0)</f>
        <v>-21.169659704331629</v>
      </c>
      <c r="G232" s="31">
        <f>IF(AND(12*años+gracia-B231&gt;0,$L$2&lt;&gt;1),J231*E232,0)</f>
        <v>-9.550827445206119</v>
      </c>
      <c r="H232" s="31">
        <f>IF(AND(12*años+gracia-B231&gt;0,$L$2&lt;&gt;1),F232-G232,0)</f>
        <v>-11.61883225912551</v>
      </c>
      <c r="I232" s="62"/>
      <c r="J232" s="61">
        <f>J231-H232-I232</f>
        <v>-2705.8586158794533</v>
      </c>
      <c r="K232" s="61">
        <f>K231*(1+$J$17)^(1/12)</f>
        <v>12173.823210486764</v>
      </c>
      <c r="L232" s="31">
        <f t="shared" si="35"/>
        <v>16</v>
      </c>
      <c r="M232" s="31">
        <f t="shared" si="36"/>
        <v>-2.6666666666666661</v>
      </c>
      <c r="N232" s="31">
        <f t="shared" si="37"/>
        <v>-2.35</v>
      </c>
      <c r="O232" s="62"/>
      <c r="P232" s="31">
        <f>O232+N232+M232+L232+I232+F232</f>
        <v>-10.186326370998295</v>
      </c>
      <c r="Q232" s="31">
        <f>SUM($P$36:P232)</f>
        <v>-2490.7420104896842</v>
      </c>
      <c r="R232" s="83">
        <f t="shared" si="38"/>
        <v>-0.1842432985072992</v>
      </c>
      <c r="S232" s="31">
        <f>SUMPRODUCT($P$36:P232,$D$36:D232)/D232-Q232</f>
        <v>-1604.6842320151882</v>
      </c>
      <c r="T232" s="31">
        <f t="shared" si="32"/>
        <v>6977.222584117626</v>
      </c>
      <c r="U232" s="31">
        <f t="shared" si="33"/>
        <v>7598.4625841176257</v>
      </c>
      <c r="V232" s="80" cm="1">
        <f t="array" ref="V232">IF($L$2&lt;&gt;1,IRR(IF(ROW($P$36:P232)=ROW(P232),P232+K232+J232,$P$36:P232),V231/12)*12,0)</f>
        <v>0.11850320508353285</v>
      </c>
      <c r="W232" s="83">
        <f>(1+V232/12)^(B232)-1</f>
        <v>5.862403591014397</v>
      </c>
    </row>
    <row r="233" spans="2:23" x14ac:dyDescent="0.25">
      <c r="B233" s="33">
        <v>197</v>
      </c>
      <c r="C233" s="105">
        <f t="shared" si="31"/>
        <v>3.9789301544717048E-3</v>
      </c>
      <c r="D233" s="106">
        <f t="shared" si="34"/>
        <v>0.45735566790051668</v>
      </c>
      <c r="E233" s="60">
        <f>rate</f>
        <v>3.5145930840192463E-3</v>
      </c>
      <c r="F233" s="31">
        <f>IF(AND(B232&gt;=gracia,12*años+gracia-B232&gt;0,$L$2&lt;&gt;1),PMT(E232,12*años-B232+gracia,-J232),0)</f>
        <v>-21.169659704331625</v>
      </c>
      <c r="G233" s="31">
        <f>IF(AND(12*años+gracia-B232&gt;0,$L$2&lt;&gt;1),J232*E233,0)</f>
        <v>-9.509991977703816</v>
      </c>
      <c r="H233" s="31">
        <f>IF(AND(12*años+gracia-B232&gt;0,$L$2&lt;&gt;1),F233-G233,0)</f>
        <v>-11.659667726627809</v>
      </c>
      <c r="I233" s="62"/>
      <c r="J233" s="61">
        <f>J232-H233-I233</f>
        <v>-2694.1989481528253</v>
      </c>
      <c r="K233" s="61">
        <f>K232*(1+$J$17)^(1/12)</f>
        <v>12233.079910537355</v>
      </c>
      <c r="L233" s="31">
        <f t="shared" si="35"/>
        <v>16</v>
      </c>
      <c r="M233" s="31">
        <f t="shared" si="36"/>
        <v>-2.6666666666666661</v>
      </c>
      <c r="N233" s="31">
        <f t="shared" si="37"/>
        <v>-2.35</v>
      </c>
      <c r="O233" s="62"/>
      <c r="P233" s="31">
        <f>O233+N233+M233+L233+I233+F233</f>
        <v>-10.186326370998291</v>
      </c>
      <c r="Q233" s="31">
        <f>SUM($P$36:P233)</f>
        <v>-2500.9283368606825</v>
      </c>
      <c r="R233" s="83">
        <f t="shared" si="38"/>
        <v>-0.18430684106102668</v>
      </c>
      <c r="S233" s="31">
        <f>SUMPRODUCT($P$36:P233,$D$36:D233)/D233-Q233</f>
        <v>-1620.9796469869057</v>
      </c>
      <c r="T233" s="31">
        <f t="shared" si="32"/>
        <v>7037.952625523847</v>
      </c>
      <c r="U233" s="31">
        <f t="shared" si="33"/>
        <v>7659.1926255238468</v>
      </c>
      <c r="V233" s="80" cm="1">
        <f t="array" ref="V233">IF($L$2&lt;&gt;1,IRR(IF(ROW($P$36:P233)=ROW(P233),P233+K233+J233,$P$36:P233),V232/12)*12,0)</f>
        <v>0.11823185210697762</v>
      </c>
      <c r="W233" s="83">
        <f>(1+V233/12)^(B233)-1</f>
        <v>5.8996686167918595</v>
      </c>
    </row>
    <row r="234" spans="2:23" x14ac:dyDescent="0.25">
      <c r="B234" s="33">
        <v>198</v>
      </c>
      <c r="C234" s="105">
        <f t="shared" si="31"/>
        <v>3.9789301544717048E-3</v>
      </c>
      <c r="D234" s="106">
        <f t="shared" si="34"/>
        <v>0.45554309374814089</v>
      </c>
      <c r="E234" s="60">
        <f>rate</f>
        <v>3.5145930840192463E-3</v>
      </c>
      <c r="F234" s="31">
        <f>IF(AND(B233&gt;=gracia,12*años+gracia-B233&gt;0,$L$2&lt;&gt;1),PMT(E233,12*años-B233+gracia,-J233),0)</f>
        <v>-21.169659704331629</v>
      </c>
      <c r="G234" s="31">
        <f>IF(AND(12*años+gracia-B233&gt;0,$L$2&lt;&gt;1),J233*E234,0)</f>
        <v>-9.4690129901498477</v>
      </c>
      <c r="H234" s="31">
        <f>IF(AND(12*años+gracia-B233&gt;0,$L$2&lt;&gt;1),F234-G234,0)</f>
        <v>-11.700646714181781</v>
      </c>
      <c r="I234" s="62"/>
      <c r="J234" s="61">
        <f>J233-H234-I234</f>
        <v>-2682.4983014386435</v>
      </c>
      <c r="K234" s="61">
        <f>K233*(1+$J$17)^(1/12)</f>
        <v>12292.625045571778</v>
      </c>
      <c r="L234" s="31">
        <f t="shared" si="35"/>
        <v>16</v>
      </c>
      <c r="M234" s="31">
        <f t="shared" si="36"/>
        <v>-2.6666666666666661</v>
      </c>
      <c r="N234" s="31">
        <f t="shared" si="37"/>
        <v>-2.35</v>
      </c>
      <c r="O234" s="62"/>
      <c r="P234" s="31">
        <f>O234+N234+M234+L234+I234+F234</f>
        <v>-10.186326370998295</v>
      </c>
      <c r="Q234" s="31">
        <f>SUM($P$36:P234)</f>
        <v>-2511.1146632316809</v>
      </c>
      <c r="R234" s="83">
        <f t="shared" si="38"/>
        <v>-0.18436974177077722</v>
      </c>
      <c r="S234" s="31">
        <f>SUMPRODUCT($P$36:P234,$D$36:D234)/D234-Q234</f>
        <v>-1637.380430957794</v>
      </c>
      <c r="T234" s="31">
        <f t="shared" si="32"/>
        <v>7099.0120809014534</v>
      </c>
      <c r="U234" s="31">
        <f t="shared" si="33"/>
        <v>7720.2520809014532</v>
      </c>
      <c r="V234" s="80" cm="1">
        <f t="array" ref="V234">IF($L$2&lt;&gt;1,IRR(IF(ROW($P$36:P234)=ROW(P234),P234+K234+J234,$P$36:P234),V233/12)*12,0)</f>
        <v>0.11796259920322871</v>
      </c>
      <c r="W234" s="83">
        <f>(1+V234/12)^(B234)-1</f>
        <v>5.9370626843039833</v>
      </c>
    </row>
    <row r="235" spans="2:23" x14ac:dyDescent="0.25">
      <c r="B235" s="33">
        <v>199</v>
      </c>
      <c r="C235" s="105">
        <f t="shared" si="31"/>
        <v>3.9789301544717048E-3</v>
      </c>
      <c r="D235" s="106">
        <f t="shared" si="34"/>
        <v>0.45373770311898004</v>
      </c>
      <c r="E235" s="60">
        <f>rate</f>
        <v>3.5145930840192463E-3</v>
      </c>
      <c r="F235" s="31">
        <f>IF(AND(B234&gt;=gracia,12*años+gracia-B234&gt;0,$L$2&lt;&gt;1),PMT(E234,12*años-B234+gracia,-J234),0)</f>
        <v>-21.169659704331629</v>
      </c>
      <c r="G235" s="31">
        <f>IF(AND(12*años+gracia-B234&gt;0,$L$2&lt;&gt;1),J234*E235,0)</f>
        <v>-9.427889978129631</v>
      </c>
      <c r="H235" s="31">
        <f>IF(AND(12*años+gracia-B234&gt;0,$L$2&lt;&gt;1),F235-G235,0)</f>
        <v>-11.741769726201998</v>
      </c>
      <c r="I235" s="62"/>
      <c r="J235" s="61">
        <f>J234-H235-I235</f>
        <v>-2670.7565317124413</v>
      </c>
      <c r="K235" s="61">
        <f>K234*(1+$J$17)^(1/12)</f>
        <v>12352.4600195619</v>
      </c>
      <c r="L235" s="31">
        <f t="shared" si="35"/>
        <v>16</v>
      </c>
      <c r="M235" s="31">
        <f t="shared" si="36"/>
        <v>-2.6666666666666661</v>
      </c>
      <c r="N235" s="31">
        <f t="shared" si="37"/>
        <v>-2.35</v>
      </c>
      <c r="O235" s="62"/>
      <c r="P235" s="31">
        <f>O235+N235+M235+L235+I235+F235</f>
        <v>-10.186326370998295</v>
      </c>
      <c r="Q235" s="31">
        <f>SUM($P$36:P235)</f>
        <v>-2521.3009896026792</v>
      </c>
      <c r="R235" s="83">
        <f t="shared" si="38"/>
        <v>-0.18443201031259049</v>
      </c>
      <c r="S235" s="31">
        <f>SUMPRODUCT($P$36:P235,$D$36:D235)/D235-Q235</f>
        <v>-1653.8870031837428</v>
      </c>
      <c r="T235" s="31">
        <f t="shared" si="32"/>
        <v>7160.4024982467799</v>
      </c>
      <c r="U235" s="31">
        <f t="shared" si="33"/>
        <v>7781.6424982467797</v>
      </c>
      <c r="V235" s="80" cm="1">
        <f t="array" ref="V235">IF($L$2&lt;&gt;1,IRR(IF(ROW($P$36:P235)=ROW(P235),P235+K235+J235,$P$36:P235),V234/12)*12,0)</f>
        <v>0.11769542293136492</v>
      </c>
      <c r="W235" s="83">
        <f>(1+V235/12)^(B235)-1</f>
        <v>5.9745866470962055</v>
      </c>
    </row>
    <row r="236" spans="2:23" x14ac:dyDescent="0.25">
      <c r="B236" s="33">
        <v>200</v>
      </c>
      <c r="C236" s="105">
        <f t="shared" si="31"/>
        <v>3.9789301544717048E-3</v>
      </c>
      <c r="D236" s="106">
        <f t="shared" si="34"/>
        <v>0.451939467543575</v>
      </c>
      <c r="E236" s="60">
        <f>rate</f>
        <v>3.5145930840192463E-3</v>
      </c>
      <c r="F236" s="31">
        <f>IF(AND(B235&gt;=gracia,12*años+gracia-B235&gt;0,$L$2&lt;&gt;1),PMT(E235,12*años-B235+gracia,-J235),0)</f>
        <v>-21.169659704331625</v>
      </c>
      <c r="G236" s="31">
        <f>IF(AND(12*años+gracia-B235&gt;0,$L$2&lt;&gt;1),J235*E236,0)</f>
        <v>-9.3866224354557755</v>
      </c>
      <c r="H236" s="31">
        <f>IF(AND(12*años+gracia-B235&gt;0,$L$2&lt;&gt;1),F236-G236,0)</f>
        <v>-11.78303726887585</v>
      </c>
      <c r="I236" s="62"/>
      <c r="J236" s="61">
        <f>J235-H236-I236</f>
        <v>-2658.9734944435654</v>
      </c>
      <c r="K236" s="61">
        <f>K235*(1+$J$17)^(1/12)</f>
        <v>12412.586243313497</v>
      </c>
      <c r="L236" s="31">
        <f t="shared" si="35"/>
        <v>16</v>
      </c>
      <c r="M236" s="31">
        <f t="shared" si="36"/>
        <v>-2.6666666666666661</v>
      </c>
      <c r="N236" s="31">
        <f t="shared" si="37"/>
        <v>-2.35</v>
      </c>
      <c r="O236" s="62"/>
      <c r="P236" s="31">
        <f>O236+N236+M236+L236+I236+F236</f>
        <v>-10.186326370998291</v>
      </c>
      <c r="Q236" s="31">
        <f>SUM($P$36:P236)</f>
        <v>-2531.4873159736776</v>
      </c>
      <c r="R236" s="83">
        <f t="shared" si="38"/>
        <v>-0.18449365616898566</v>
      </c>
      <c r="S236" s="31">
        <f>SUMPRODUCT($P$36:P236,$D$36:D236)/D236-Q236</f>
        <v>-1670.4997845888288</v>
      </c>
      <c r="T236" s="31">
        <f t="shared" si="32"/>
        <v>7222.1254328962541</v>
      </c>
      <c r="U236" s="31">
        <f t="shared" si="33"/>
        <v>7843.3654328962539</v>
      </c>
      <c r="V236" s="80" cm="1">
        <f t="array" ref="V236">IF($L$2&lt;&gt;1,IRR(IF(ROW($P$36:P236)=ROW(P236),P236+K236+J236,$P$36:P236),V235/12)*12,0)</f>
        <v>0.11743030018998279</v>
      </c>
      <c r="W236" s="83">
        <f>(1+V236/12)^(B236)-1</f>
        <v>6.0122413595510196</v>
      </c>
    </row>
    <row r="237" spans="2:23" x14ac:dyDescent="0.25">
      <c r="B237" s="33">
        <v>201</v>
      </c>
      <c r="C237" s="105">
        <f t="shared" si="31"/>
        <v>3.9789301544717048E-3</v>
      </c>
      <c r="D237" s="106">
        <f t="shared" si="34"/>
        <v>0.45014835866529573</v>
      </c>
      <c r="E237" s="60">
        <f>rate</f>
        <v>3.5145930840192463E-3</v>
      </c>
      <c r="F237" s="31">
        <f>IF(AND(B236&gt;=gracia,12*años+gracia-B236&gt;0,$L$2&lt;&gt;1),PMT(E236,12*años-B236+gracia,-J236),0)</f>
        <v>-21.169659704331629</v>
      </c>
      <c r="G237" s="31">
        <f>IF(AND(12*años+gracia-B236&gt;0,$L$2&lt;&gt;1),J236*E237,0)</f>
        <v>-9.3452098541618422</v>
      </c>
      <c r="H237" s="31">
        <f>IF(AND(12*años+gracia-B236&gt;0,$L$2&lt;&gt;1),F237-G237,0)</f>
        <v>-11.824449850169787</v>
      </c>
      <c r="I237" s="62"/>
      <c r="J237" s="61">
        <f>J236-H237-I237</f>
        <v>-2647.1490445933955</v>
      </c>
      <c r="K237" s="61">
        <f>K236*(1+$J$17)^(1/12)</f>
        <v>12473.005134499506</v>
      </c>
      <c r="L237" s="31">
        <f t="shared" si="35"/>
        <v>16</v>
      </c>
      <c r="M237" s="31">
        <f t="shared" si="36"/>
        <v>-2.6666666666666661</v>
      </c>
      <c r="N237" s="31">
        <f t="shared" si="37"/>
        <v>-2.35</v>
      </c>
      <c r="O237" s="62"/>
      <c r="P237" s="31">
        <f>O237+N237+M237+L237+I237+F237</f>
        <v>-10.186326370998295</v>
      </c>
      <c r="Q237" s="31">
        <f>SUM($P$36:P237)</f>
        <v>-2541.673642344676</v>
      </c>
      <c r="R237" s="83">
        <f t="shared" si="38"/>
        <v>-0.18455468863377492</v>
      </c>
      <c r="S237" s="31">
        <f>SUMPRODUCT($P$36:P237,$D$36:D237)/D237-Q237</f>
        <v>-1687.2191977719581</v>
      </c>
      <c r="T237" s="31">
        <f t="shared" si="32"/>
        <v>7284.1824475614349</v>
      </c>
      <c r="U237" s="31">
        <f t="shared" si="33"/>
        <v>7905.4224475614346</v>
      </c>
      <c r="V237" s="80" cm="1">
        <f t="array" ref="V237">IF($L$2&lt;&gt;1,IRR(IF(ROW($P$36:P237)=ROW(P237),P237+K237+J237,$P$36:P237),V236/12)*12,0)</f>
        <v>0.11716720821130799</v>
      </c>
      <c r="W237" s="83">
        <f>(1+V237/12)^(B237)-1</f>
        <v>6.0500276769398154</v>
      </c>
    </row>
    <row r="238" spans="2:23" x14ac:dyDescent="0.25">
      <c r="B238" s="33">
        <v>202</v>
      </c>
      <c r="C238" s="105">
        <f t="shared" si="31"/>
        <v>3.9789301544717048E-3</v>
      </c>
      <c r="D238" s="106">
        <f t="shared" si="34"/>
        <v>0.44836434823989396</v>
      </c>
      <c r="E238" s="60">
        <f>rate</f>
        <v>3.5145930840192463E-3</v>
      </c>
      <c r="F238" s="31">
        <f>IF(AND(B237&gt;=gracia,12*años+gracia-B237&gt;0,$L$2&lt;&gt;1),PMT(E237,12*años-B237+gracia,-J237),0)</f>
        <v>-21.169659704331622</v>
      </c>
      <c r="G238" s="31">
        <f>IF(AND(12*años+gracia-B237&gt;0,$L$2&lt;&gt;1),J237*E238,0)</f>
        <v>-9.3036517244961026</v>
      </c>
      <c r="H238" s="31">
        <f>IF(AND(12*años+gracia-B237&gt;0,$L$2&lt;&gt;1),F238-G238,0)</f>
        <v>-11.866007979835519</v>
      </c>
      <c r="I238" s="62"/>
      <c r="J238" s="61">
        <f>J237-H238-I238</f>
        <v>-2635.2830366135599</v>
      </c>
      <c r="K238" s="61">
        <f>K237*(1+$J$17)^(1/12)</f>
        <v>12533.718117693466</v>
      </c>
      <c r="L238" s="31">
        <f t="shared" si="35"/>
        <v>16</v>
      </c>
      <c r="M238" s="31">
        <f t="shared" si="36"/>
        <v>-2.6666666666666661</v>
      </c>
      <c r="N238" s="31">
        <f t="shared" si="37"/>
        <v>-2.35</v>
      </c>
      <c r="O238" s="62"/>
      <c r="P238" s="31">
        <f>O238+N238+M238+L238+I238+F238</f>
        <v>-10.186326370998287</v>
      </c>
      <c r="Q238" s="31">
        <f>SUM($P$36:P238)</f>
        <v>-2551.8599687156743</v>
      </c>
      <c r="R238" s="83">
        <f t="shared" si="38"/>
        <v>-0.18461511681673456</v>
      </c>
      <c r="S238" s="31">
        <f>SUMPRODUCT($P$36:P238,$D$36:D238)/D238-Q238</f>
        <v>-1704.0456670135277</v>
      </c>
      <c r="T238" s="31">
        <f t="shared" si="32"/>
        <v>7346.5751123642322</v>
      </c>
      <c r="U238" s="31">
        <f t="shared" si="33"/>
        <v>7967.8151123642319</v>
      </c>
      <c r="V238" s="80" cm="1">
        <f t="array" ref="V238">IF($L$2&lt;&gt;1,IRR(IF(ROW($P$36:P238)=ROW(P238),P238+K238+J238,$P$36:P238),V237/12)*12,0)</f>
        <v>0.11690612455544258</v>
      </c>
      <c r="W238" s="83">
        <f>(1+V238/12)^(B238)-1</f>
        <v>6.0879464554747162</v>
      </c>
    </row>
    <row r="239" spans="2:23" x14ac:dyDescent="0.25">
      <c r="B239" s="33">
        <v>203</v>
      </c>
      <c r="C239" s="105">
        <f t="shared" si="31"/>
        <v>3.9789301544717048E-3</v>
      </c>
      <c r="D239" s="106">
        <f t="shared" si="34"/>
        <v>0.44658740813505804</v>
      </c>
      <c r="E239" s="60">
        <f>rate</f>
        <v>3.5145930840192463E-3</v>
      </c>
      <c r="F239" s="31">
        <f>IF(AND(B238&gt;=gracia,12*años+gracia-B238&gt;0,$L$2&lt;&gt;1),PMT(E238,12*años-B238+gracia,-J238),0)</f>
        <v>-21.169659704331622</v>
      </c>
      <c r="G239" s="31">
        <f>IF(AND(12*años+gracia-B238&gt;0,$L$2&lt;&gt;1),J238*E239,0)</f>
        <v>-9.2619475349152562</v>
      </c>
      <c r="H239" s="31">
        <f>IF(AND(12*años+gracia-B238&gt;0,$L$2&lt;&gt;1),F239-G239,0)</f>
        <v>-11.907712169416365</v>
      </c>
      <c r="I239" s="62"/>
      <c r="J239" s="61">
        <f>J238-H239-I239</f>
        <v>-2623.3753244441436</v>
      </c>
      <c r="K239" s="61">
        <f>K238*(1+$J$17)^(1/12)</f>
        <v>12594.726624403096</v>
      </c>
      <c r="L239" s="31">
        <f t="shared" si="35"/>
        <v>16</v>
      </c>
      <c r="M239" s="31">
        <f t="shared" si="36"/>
        <v>-2.6666666666666661</v>
      </c>
      <c r="N239" s="31">
        <f t="shared" si="37"/>
        <v>-2.35</v>
      </c>
      <c r="O239" s="62"/>
      <c r="P239" s="31">
        <f>O239+N239+M239+L239+I239+F239</f>
        <v>-10.186326370998287</v>
      </c>
      <c r="Q239" s="31">
        <f>SUM($P$36:P239)</f>
        <v>-2562.0462950866727</v>
      </c>
      <c r="R239" s="83">
        <f t="shared" si="38"/>
        <v>-0.18467494964813796</v>
      </c>
      <c r="S239" s="31">
        <f>SUMPRODUCT($P$36:P239,$D$36:D239)/D239-Q239</f>
        <v>-1720.979618282116</v>
      </c>
      <c r="T239" s="31">
        <f t="shared" si="32"/>
        <v>7409.3050048722798</v>
      </c>
      <c r="U239" s="31">
        <f t="shared" si="33"/>
        <v>8030.5450048722796</v>
      </c>
      <c r="V239" s="80" cm="1">
        <f t="array" ref="V239">IF($L$2&lt;&gt;1,IRR(IF(ROW($P$36:P239)=ROW(P239),P239+K239+J239,$P$36:P239),V238/12)*12,0)</f>
        <v>0.11664702710468955</v>
      </c>
      <c r="W239" s="83">
        <f>(1+V239/12)^(B239)-1</f>
        <v>6.1259985523571583</v>
      </c>
    </row>
    <row r="240" spans="2:23" x14ac:dyDescent="0.25">
      <c r="B240" s="33">
        <v>204</v>
      </c>
      <c r="C240" s="105">
        <f t="shared" si="31"/>
        <v>3.9789301544717048E-3</v>
      </c>
      <c r="D240" s="106">
        <f t="shared" si="34"/>
        <v>0.44481751032996908</v>
      </c>
      <c r="E240" s="60">
        <f>rate</f>
        <v>3.5145930840192463E-3</v>
      </c>
      <c r="F240" s="31">
        <f>IF(AND(B239&gt;=gracia,12*años+gracia-B239&gt;0,$L$2&lt;&gt;1),PMT(E239,12*años-B239+gracia,-J239),0)</f>
        <v>-21.169659704331629</v>
      </c>
      <c r="G240" s="31">
        <f>IF(AND(12*años+gracia-B239&gt;0,$L$2&lt;&gt;1),J239*E240,0)</f>
        <v>-9.2200967720781328</v>
      </c>
      <c r="H240" s="31">
        <f>IF(AND(12*años+gracia-B239&gt;0,$L$2&lt;&gt;1),F240-G240,0)</f>
        <v>-11.949562932253496</v>
      </c>
      <c r="I240" s="62"/>
      <c r="J240" s="61">
        <f>J239-H240-I240</f>
        <v>-2611.42576151189</v>
      </c>
      <c r="K240" s="61">
        <f>K239*(1+$J$17)^(1/12)</f>
        <v>12656.032093104051</v>
      </c>
      <c r="L240" s="31">
        <f t="shared" si="35"/>
        <v>16</v>
      </c>
      <c r="M240" s="31">
        <f t="shared" si="36"/>
        <v>-2.6666666666666661</v>
      </c>
      <c r="N240" s="31">
        <f t="shared" si="37"/>
        <v>-2.35</v>
      </c>
      <c r="O240" s="62"/>
      <c r="P240" s="31">
        <f>O240+N240+M240+L240+I240+F240</f>
        <v>-10.186326370998295</v>
      </c>
      <c r="Q240" s="31">
        <f>SUM($P$36:P240)</f>
        <v>-2572.232621457671</v>
      </c>
      <c r="R240" s="83">
        <f t="shared" si="38"/>
        <v>-0.18473419588315507</v>
      </c>
      <c r="S240" s="31">
        <f>SUMPRODUCT($P$36:P240,$D$36:D240)/D240-Q240</f>
        <v>-1738.021479241203</v>
      </c>
      <c r="T240" s="31">
        <f t="shared" si="32"/>
        <v>7472.3737101344905</v>
      </c>
      <c r="U240" s="31">
        <f t="shared" si="33"/>
        <v>8093.6137101344902</v>
      </c>
      <c r="V240" s="80" cm="1">
        <f t="array" ref="V240">IF($L$2&lt;&gt;1,IRR(IF(ROW($P$36:P240)=ROW(P240),P240+K240+J240,$P$36:P240),V239/12)*12,0)</f>
        <v>0.11638989405798927</v>
      </c>
      <c r="W240" s="83">
        <f>(1+V240/12)^(B240)-1</f>
        <v>6.1641848258254059</v>
      </c>
    </row>
    <row r="241" spans="2:23" x14ac:dyDescent="0.25">
      <c r="B241" s="33">
        <v>205</v>
      </c>
      <c r="C241" s="105">
        <f t="shared" si="31"/>
        <v>3.9789301544717048E-3</v>
      </c>
      <c r="D241" s="106">
        <f t="shared" si="34"/>
        <v>0.44305462691485936</v>
      </c>
      <c r="E241" s="60">
        <f>rate</f>
        <v>3.5145930840192463E-3</v>
      </c>
      <c r="F241" s="31">
        <f>IF(AND(B240&gt;=gracia,12*años+gracia-B240&gt;0,$L$2&lt;&gt;1),PMT(E240,12*años-B240+gracia,-J240),0)</f>
        <v>-21.169659704331622</v>
      </c>
      <c r="G241" s="31">
        <f>IF(AND(12*años+gracia-B240&gt;0,$L$2&lt;&gt;1),J240*E241,0)</f>
        <v>-9.1780989208393819</v>
      </c>
      <c r="H241" s="31">
        <f>IF(AND(12*años+gracia-B240&gt;0,$L$2&lt;&gt;1),F241-G241,0)</f>
        <v>-11.99156078349224</v>
      </c>
      <c r="I241" s="62"/>
      <c r="J241" s="61">
        <f>J240-H241-I241</f>
        <v>-2599.4342007283976</v>
      </c>
      <c r="K241" s="61">
        <f>K240*(1+$J$17)^(1/12)</f>
        <v>12717.635969273841</v>
      </c>
      <c r="L241" s="31">
        <f t="shared" si="35"/>
        <v>16</v>
      </c>
      <c r="M241" s="31">
        <f t="shared" si="36"/>
        <v>-2.6666666666666661</v>
      </c>
      <c r="N241" s="31">
        <f t="shared" si="37"/>
        <v>-2.35</v>
      </c>
      <c r="O241" s="62"/>
      <c r="P241" s="31">
        <f>O241+N241+M241+L241+I241+F241</f>
        <v>-10.186326370998287</v>
      </c>
      <c r="Q241" s="31">
        <f>SUM($P$36:P241)</f>
        <v>-2582.4189478286694</v>
      </c>
      <c r="R241" s="83">
        <f t="shared" si="38"/>
        <v>-0.18479286410612317</v>
      </c>
      <c r="S241" s="31">
        <f>SUMPRODUCT($P$36:P241,$D$36:D241)/D241-Q241</f>
        <v>-1755.1716792559087</v>
      </c>
      <c r="T241" s="31">
        <f t="shared" si="32"/>
        <v>7535.7828207167731</v>
      </c>
      <c r="U241" s="31">
        <f t="shared" si="33"/>
        <v>8157.0228207167729</v>
      </c>
      <c r="V241" s="80" cm="1">
        <f t="array" ref="V241">IF($L$2&lt;&gt;1,IRR(IF(ROW($P$36:P241)=ROW(P241),P241+K241+J241,$P$36:P241),V240/12)*12,0)</f>
        <v>0.11613470392548386</v>
      </c>
      <c r="W241" s="83">
        <f>(1+V241/12)^(B241)-1</f>
        <v>6.2025061352041115</v>
      </c>
    </row>
    <row r="242" spans="2:23" x14ac:dyDescent="0.25">
      <c r="B242" s="33">
        <v>206</v>
      </c>
      <c r="C242" s="105">
        <f t="shared" si="31"/>
        <v>3.9789301544717048E-3</v>
      </c>
      <c r="D242" s="106">
        <f t="shared" si="34"/>
        <v>0.44129873009057191</v>
      </c>
      <c r="E242" s="60">
        <f>rate</f>
        <v>3.5145930840192463E-3</v>
      </c>
      <c r="F242" s="31">
        <f>IF(AND(B241&gt;=gracia,12*años+gracia-B241&gt;0,$L$2&lt;&gt;1),PMT(E241,12*años-B241+gracia,-J241),0)</f>
        <v>-21.169659704331622</v>
      </c>
      <c r="G242" s="31">
        <f>IF(AND(12*años+gracia-B241&gt;0,$L$2&lt;&gt;1),J241*E242,0)</f>
        <v>-9.1359534642431228</v>
      </c>
      <c r="H242" s="31">
        <f>IF(AND(12*años+gracia-B241&gt;0,$L$2&lt;&gt;1),F242-G242,0)</f>
        <v>-12.033706240088499</v>
      </c>
      <c r="I242" s="62"/>
      <c r="J242" s="61">
        <f>J241-H242-I242</f>
        <v>-2587.4004944883091</v>
      </c>
      <c r="K242" s="61">
        <f>K241*(1+$J$17)^(1/12)</f>
        <v>12779.539705425907</v>
      </c>
      <c r="L242" s="31">
        <f t="shared" si="35"/>
        <v>16</v>
      </c>
      <c r="M242" s="31">
        <f t="shared" si="36"/>
        <v>-2.6666666666666661</v>
      </c>
      <c r="N242" s="31">
        <f t="shared" si="37"/>
        <v>-2.35</v>
      </c>
      <c r="O242" s="62"/>
      <c r="P242" s="31">
        <f>O242+N242+M242+L242+I242+F242</f>
        <v>-10.186326370998287</v>
      </c>
      <c r="Q242" s="31">
        <f>SUM($P$36:P242)</f>
        <v>-2592.6052741996677</v>
      </c>
      <c r="R242" s="83">
        <f t="shared" si="38"/>
        <v>-0.18485096273469359</v>
      </c>
      <c r="S242" s="31">
        <f>SUMPRODUCT($P$36:P242,$D$36:D242)/D242-Q242</f>
        <v>-1772.4306493997697</v>
      </c>
      <c r="T242" s="31">
        <f t="shared" si="32"/>
        <v>7599.5339367379293</v>
      </c>
      <c r="U242" s="31">
        <f t="shared" si="33"/>
        <v>8220.773936737929</v>
      </c>
      <c r="V242" s="80" cm="1">
        <f t="array" ref="V242">IF($L$2&lt;&gt;1,IRR(IF(ROW($P$36:P242)=ROW(P242),P242+K242+J242,$P$36:P242),V241/12)*12,0)</f>
        <v>0.11588143552318275</v>
      </c>
      <c r="W242" s="83">
        <f>(1+V242/12)^(B242)-1</f>
        <v>6.240963340953436</v>
      </c>
    </row>
    <row r="243" spans="2:23" x14ac:dyDescent="0.25">
      <c r="B243" s="33">
        <v>207</v>
      </c>
      <c r="C243" s="105">
        <f t="shared" si="31"/>
        <v>3.9789301544717048E-3</v>
      </c>
      <c r="D243" s="106">
        <f t="shared" si="34"/>
        <v>0.4395497921681224</v>
      </c>
      <c r="E243" s="60">
        <f>rate</f>
        <v>3.5145930840192463E-3</v>
      </c>
      <c r="F243" s="31">
        <f>IF(AND(B242&gt;=gracia,12*años+gracia-B242&gt;0,$L$2&lt;&gt;1),PMT(E242,12*años-B242+gracia,-J242),0)</f>
        <v>-21.169659704331618</v>
      </c>
      <c r="G243" s="31">
        <f>IF(AND(12*años+gracia-B242&gt;0,$L$2&lt;&gt;1),J242*E243,0)</f>
        <v>-9.0936598835165885</v>
      </c>
      <c r="H243" s="31">
        <f>IF(AND(12*años+gracia-B242&gt;0,$L$2&lt;&gt;1),F243-G243,0)</f>
        <v>-12.07599982081503</v>
      </c>
      <c r="I243" s="62"/>
      <c r="J243" s="61">
        <f>J242-H243-I243</f>
        <v>-2575.324494667494</v>
      </c>
      <c r="K243" s="61">
        <f>K242*(1+$J$17)^(1/12)</f>
        <v>12841.744761143877</v>
      </c>
      <c r="L243" s="31">
        <f t="shared" si="35"/>
        <v>16</v>
      </c>
      <c r="M243" s="31">
        <f t="shared" si="36"/>
        <v>-2.6666666666666661</v>
      </c>
      <c r="N243" s="31">
        <f t="shared" si="37"/>
        <v>-2.35</v>
      </c>
      <c r="O243" s="62"/>
      <c r="P243" s="31">
        <f>O243+N243+M243+L243+I243+F243</f>
        <v>-10.186326370998284</v>
      </c>
      <c r="Q243" s="31">
        <f>SUM($P$36:P243)</f>
        <v>-2602.7916005706661</v>
      </c>
      <c r="R243" s="83">
        <f t="shared" si="38"/>
        <v>-0.18490850002385747</v>
      </c>
      <c r="S243" s="31">
        <f>SUMPRODUCT($P$36:P243,$D$36:D243)/D243-Q243</f>
        <v>-1789.7988224615315</v>
      </c>
      <c r="T243" s="31">
        <f t="shared" si="32"/>
        <v>7663.6286659057168</v>
      </c>
      <c r="U243" s="31">
        <f t="shared" si="33"/>
        <v>8284.8686659057166</v>
      </c>
      <c r="V243" s="80" cm="1">
        <f t="array" ref="V243">IF($L$2&lt;&gt;1,IRR(IF(ROW($P$36:P243)=ROW(P243),P243+K243+J243,$P$36:P243),V242/12)*12,0)</f>
        <v>0.11563006796771091</v>
      </c>
      <c r="W243" s="83">
        <f>(1+V243/12)^(B243)-1</f>
        <v>6.2795573047141735</v>
      </c>
    </row>
    <row r="244" spans="2:23" x14ac:dyDescent="0.25">
      <c r="B244" s="33">
        <v>208</v>
      </c>
      <c r="C244" s="105">
        <f t="shared" si="31"/>
        <v>3.9789301544717048E-3</v>
      </c>
      <c r="D244" s="106">
        <f t="shared" si="34"/>
        <v>0.43780778556826233</v>
      </c>
      <c r="E244" s="60">
        <f>rate</f>
        <v>3.5145930840192463E-3</v>
      </c>
      <c r="F244" s="31">
        <f>IF(AND(B243&gt;=gracia,12*años+gracia-B243&gt;0,$L$2&lt;&gt;1),PMT(E243,12*años-B243+gracia,-J243),0)</f>
        <v>-21.169659704331618</v>
      </c>
      <c r="G244" s="31">
        <f>IF(AND(12*años+gracia-B243&gt;0,$L$2&lt;&gt;1),J243*E244,0)</f>
        <v>-9.0512176580637345</v>
      </c>
      <c r="H244" s="31">
        <f>IF(AND(12*años+gracia-B243&gt;0,$L$2&lt;&gt;1),F244-G244,0)</f>
        <v>-12.118442046267884</v>
      </c>
      <c r="I244" s="62"/>
      <c r="J244" s="61">
        <f>J243-H244-I244</f>
        <v>-2563.2060526212263</v>
      </c>
      <c r="K244" s="61">
        <f>K243*(1+$J$17)^(1/12)</f>
        <v>12904.252603115974</v>
      </c>
      <c r="L244" s="31">
        <f t="shared" si="35"/>
        <v>16</v>
      </c>
      <c r="M244" s="31">
        <f t="shared" si="36"/>
        <v>-2.6666666666666661</v>
      </c>
      <c r="N244" s="31">
        <f t="shared" si="37"/>
        <v>-2.35</v>
      </c>
      <c r="O244" s="62"/>
      <c r="P244" s="31">
        <f>O244+N244+M244+L244+I244+F244</f>
        <v>-10.186326370998284</v>
      </c>
      <c r="Q244" s="31">
        <f>SUM($P$36:P244)</f>
        <v>-2612.9779269416645</v>
      </c>
      <c r="R244" s="83">
        <f t="shared" si="38"/>
        <v>-0.18496548406985636</v>
      </c>
      <c r="S244" s="31">
        <f>SUMPRODUCT($P$36:P244,$D$36:D244)/D244-Q244</f>
        <v>-1807.2766329519777</v>
      </c>
      <c r="T244" s="31">
        <f t="shared" si="32"/>
        <v>7728.0686235530829</v>
      </c>
      <c r="U244" s="31">
        <f t="shared" si="33"/>
        <v>8349.3086235530827</v>
      </c>
      <c r="V244" s="80" cm="1">
        <f t="array" ref="V244">IF($L$2&lt;&gt;1,IRR(IF(ROW($P$36:P244)=ROW(P244),P244+K244+J244,$P$36:P244),V243/12)*12,0)</f>
        <v>0.11538058067117696</v>
      </c>
      <c r="W244" s="83">
        <f>(1+V244/12)^(B244)-1</f>
        <v>6.3182888893561557</v>
      </c>
    </row>
    <row r="245" spans="2:23" x14ac:dyDescent="0.25">
      <c r="B245" s="33">
        <v>209</v>
      </c>
      <c r="C245" s="105">
        <f t="shared" si="31"/>
        <v>3.9789301544717048E-3</v>
      </c>
      <c r="D245" s="106">
        <f t="shared" si="34"/>
        <v>0.43607268282104428</v>
      </c>
      <c r="E245" s="60">
        <f>rate</f>
        <v>3.5145930840192463E-3</v>
      </c>
      <c r="F245" s="31">
        <f>IF(AND(B244&gt;=gracia,12*años+gracia-B244&gt;0,$L$2&lt;&gt;1),PMT(E244,12*años-B244+gracia,-J244),0)</f>
        <v>-21.169659704331622</v>
      </c>
      <c r="G245" s="31">
        <f>IF(AND(12*años+gracia-B244&gt;0,$L$2&lt;&gt;1),J244*E245,0)</f>
        <v>-9.0086262654588349</v>
      </c>
      <c r="H245" s="31">
        <f>IF(AND(12*años+gracia-B244&gt;0,$L$2&lt;&gt;1),F245-G245,0)</f>
        <v>-12.161033438872787</v>
      </c>
      <c r="I245" s="62"/>
      <c r="J245" s="61">
        <f>J244-H245-I245</f>
        <v>-2551.0450191823534</v>
      </c>
      <c r="K245" s="61">
        <f>K244*(1+$J$17)^(1/12)</f>
        <v>12967.064705169601</v>
      </c>
      <c r="L245" s="31">
        <f t="shared" si="35"/>
        <v>16</v>
      </c>
      <c r="M245" s="31">
        <f t="shared" si="36"/>
        <v>-2.6666666666666661</v>
      </c>
      <c r="N245" s="31">
        <f t="shared" si="37"/>
        <v>-2.35</v>
      </c>
      <c r="O245" s="62"/>
      <c r="P245" s="31">
        <f>O245+N245+M245+L245+I245+F245</f>
        <v>-10.186326370998287</v>
      </c>
      <c r="Q245" s="31">
        <f>SUM($P$36:P245)</f>
        <v>-2623.1642533126628</v>
      </c>
      <c r="R245" s="83">
        <f t="shared" si="38"/>
        <v>-0.18502192281397964</v>
      </c>
      <c r="S245" s="31">
        <f>SUMPRODUCT($P$36:P245,$D$36:D245)/D245-Q245</f>
        <v>-1824.8645171107796</v>
      </c>
      <c r="T245" s="31">
        <f t="shared" si="32"/>
        <v>7792.8554326745852</v>
      </c>
      <c r="U245" s="31">
        <f t="shared" si="33"/>
        <v>8414.095432674585</v>
      </c>
      <c r="V245" s="80" cm="1">
        <f t="array" ref="V245">IF($L$2&lt;&gt;1,IRR(IF(ROW($P$36:P245)=ROW(P245),P245+K245+J245,$P$36:P245),V244/12)*12,0)</f>
        <v>0.11513295333612383</v>
      </c>
      <c r="W245" s="83">
        <f>(1+V245/12)^(B245)-1</f>
        <v>6.3571589590219766</v>
      </c>
    </row>
    <row r="246" spans="2:23" x14ac:dyDescent="0.25">
      <c r="B246" s="33">
        <v>210</v>
      </c>
      <c r="C246" s="105">
        <f t="shared" si="31"/>
        <v>3.9789301544717048E-3</v>
      </c>
      <c r="D246" s="106">
        <f t="shared" si="34"/>
        <v>0.43434445656538861</v>
      </c>
      <c r="E246" s="60">
        <f>rate</f>
        <v>3.5145930840192463E-3</v>
      </c>
      <c r="F246" s="31">
        <f>IF(AND(B245&gt;=gracia,12*años+gracia-B245&gt;0,$L$2&lt;&gt;1),PMT(E245,12*años-B245+gracia,-J245),0)</f>
        <v>-21.169659704331622</v>
      </c>
      <c r="G246" s="31">
        <f>IF(AND(12*años+gracia-B245&gt;0,$L$2&lt;&gt;1),J245*E246,0)</f>
        <v>-8.9658851814400453</v>
      </c>
      <c r="H246" s="31">
        <f>IF(AND(12*años+gracia-B245&gt;0,$L$2&lt;&gt;1),F246-G246,0)</f>
        <v>-12.203774522891576</v>
      </c>
      <c r="I246" s="62"/>
      <c r="J246" s="61">
        <f>J245-H246-I246</f>
        <v>-2538.8412446594616</v>
      </c>
      <c r="K246" s="61">
        <f>K245*(1+$J$17)^(1/12)</f>
        <v>13030.182548306089</v>
      </c>
      <c r="L246" s="31">
        <f t="shared" si="35"/>
        <v>16</v>
      </c>
      <c r="M246" s="31">
        <f t="shared" si="36"/>
        <v>-2.6666666666666661</v>
      </c>
      <c r="N246" s="31">
        <f t="shared" si="37"/>
        <v>-2.35</v>
      </c>
      <c r="O246" s="62"/>
      <c r="P246" s="31">
        <f>O246+N246+M246+L246+I246+F246</f>
        <v>-10.186326370998287</v>
      </c>
      <c r="Q246" s="31">
        <f>SUM($P$36:P246)</f>
        <v>-2633.3505796836612</v>
      </c>
      <c r="R246" s="83">
        <f t="shared" si="38"/>
        <v>-0.18507782404625411</v>
      </c>
      <c r="S246" s="31">
        <f>SUMPRODUCT($P$36:P246,$D$36:D246)/D246-Q246</f>
        <v>-1842.5629129133754</v>
      </c>
      <c r="T246" s="31">
        <f t="shared" si="32"/>
        <v>7857.9907239629665</v>
      </c>
      <c r="U246" s="31">
        <f t="shared" si="33"/>
        <v>8479.2307239629663</v>
      </c>
      <c r="V246" s="80" cm="1">
        <f t="array" ref="V246">IF($L$2&lt;&gt;1,IRR(IF(ROW($P$36:P246)=ROW(P246),P246+K246+J246,$P$36:P246),V245/12)*12,0)</f>
        <v>0.11488716595060477</v>
      </c>
      <c r="W246" s="83">
        <f>(1+V246/12)^(B246)-1</f>
        <v>6.396168379175931</v>
      </c>
    </row>
    <row r="247" spans="2:23" x14ac:dyDescent="0.25">
      <c r="B247" s="33">
        <v>211</v>
      </c>
      <c r="C247" s="105">
        <f t="shared" si="31"/>
        <v>3.9789301544717048E-3</v>
      </c>
      <c r="D247" s="106">
        <f t="shared" si="34"/>
        <v>0.43262307954865209</v>
      </c>
      <c r="E247" s="60">
        <f>rate</f>
        <v>3.5145930840192463E-3</v>
      </c>
      <c r="F247" s="31">
        <f>IF(AND(B246&gt;=gracia,12*años+gracia-B246&gt;0,$L$2&lt;&gt;1),PMT(E246,12*años-B246+gracia,-J246),0)</f>
        <v>-21.169659704331618</v>
      </c>
      <c r="G247" s="31">
        <f>IF(AND(12*años+gracia-B246&gt;0,$L$2&lt;&gt;1),J246*E247,0)</f>
        <v>-8.9229938799029593</v>
      </c>
      <c r="H247" s="31">
        <f>IF(AND(12*años+gracia-B246&gt;0,$L$2&lt;&gt;1),F247-G247,0)</f>
        <v>-12.246665824428659</v>
      </c>
      <c r="I247" s="62"/>
      <c r="J247" s="61">
        <f>J246-H247-I247</f>
        <v>-2526.5945788350327</v>
      </c>
      <c r="K247" s="61">
        <f>K246*(1+$J$17)^(1/12)</f>
        <v>13093.60762073562</v>
      </c>
      <c r="L247" s="31">
        <f t="shared" si="35"/>
        <v>16</v>
      </c>
      <c r="M247" s="31">
        <f t="shared" si="36"/>
        <v>-2.6666666666666661</v>
      </c>
      <c r="N247" s="31">
        <f t="shared" si="37"/>
        <v>-2.35</v>
      </c>
      <c r="O247" s="62"/>
      <c r="P247" s="31">
        <f>O247+N247+M247+L247+I247+F247</f>
        <v>-10.186326370998284</v>
      </c>
      <c r="Q247" s="31">
        <f>SUM($P$36:P247)</f>
        <v>-2643.5369060546595</v>
      </c>
      <c r="R247" s="83">
        <f t="shared" si="38"/>
        <v>-0.18513319540902839</v>
      </c>
      <c r="S247" s="31">
        <f>SUMPRODUCT($P$36:P247,$D$36:D247)/D247-Q247</f>
        <v>-1860.372260077876</v>
      </c>
      <c r="T247" s="31">
        <f t="shared" si="32"/>
        <v>7923.4761358459273</v>
      </c>
      <c r="U247" s="31">
        <f t="shared" si="33"/>
        <v>8544.7161358459271</v>
      </c>
      <c r="V247" s="80" cm="1">
        <f t="array" ref="V247">IF($L$2&lt;&gt;1,IRR(IF(ROW($P$36:P247)=ROW(P247),P247+K247+J247,$P$36:P247),V246/12)*12,0)</f>
        <v>0.11464319878332052</v>
      </c>
      <c r="W247" s="83">
        <f>(1+V247/12)^(B247)-1</f>
        <v>6.4353180166472921</v>
      </c>
    </row>
    <row r="248" spans="2:23" x14ac:dyDescent="0.25">
      <c r="B248" s="33">
        <v>212</v>
      </c>
      <c r="C248" s="105">
        <f t="shared" si="31"/>
        <v>3.9789301544717048E-3</v>
      </c>
      <c r="D248" s="106">
        <f t="shared" si="34"/>
        <v>0.430908524626198</v>
      </c>
      <c r="E248" s="60">
        <f>rate</f>
        <v>3.5145930840192463E-3</v>
      </c>
      <c r="F248" s="31">
        <f>IF(AND(B247&gt;=gracia,12*años+gracia-B247&gt;0,$L$2&lt;&gt;1),PMT(E247,12*años-B247+gracia,-J247),0)</f>
        <v>-21.169659704331615</v>
      </c>
      <c r="G248" s="31">
        <f>IF(AND(12*años+gracia-B247&gt;0,$L$2&lt;&gt;1),J247*E248,0)</f>
        <v>-8.8799518328941272</v>
      </c>
      <c r="H248" s="31">
        <f>IF(AND(12*años+gracia-B247&gt;0,$L$2&lt;&gt;1),F248-G248,0)</f>
        <v>-12.289707871437487</v>
      </c>
      <c r="I248" s="62"/>
      <c r="J248" s="61">
        <f>J247-H248-I248</f>
        <v>-2514.304870963595</v>
      </c>
      <c r="K248" s="61">
        <f>K247*(1+$J$17)^(1/12)</f>
        <v>13157.341417912312</v>
      </c>
      <c r="L248" s="31">
        <f t="shared" si="35"/>
        <v>16</v>
      </c>
      <c r="M248" s="31">
        <f t="shared" si="36"/>
        <v>-2.6666666666666661</v>
      </c>
      <c r="N248" s="31">
        <f t="shared" si="37"/>
        <v>-2.35</v>
      </c>
      <c r="O248" s="62"/>
      <c r="P248" s="31">
        <f>O248+N248+M248+L248+I248+F248</f>
        <v>-10.18632637099828</v>
      </c>
      <c r="Q248" s="31">
        <f>SUM($P$36:P248)</f>
        <v>-2653.7232324256579</v>
      </c>
      <c r="R248" s="83">
        <f t="shared" si="38"/>
        <v>-0.18518804440045572</v>
      </c>
      <c r="S248" s="31">
        <f>SUMPRODUCT($P$36:P248,$D$36:D248)/D248-Q248</f>
        <v>-1878.293000072003</v>
      </c>
      <c r="T248" s="31">
        <f t="shared" si="32"/>
        <v>7989.3133145230586</v>
      </c>
      <c r="U248" s="31">
        <f t="shared" si="33"/>
        <v>8610.5533145230584</v>
      </c>
      <c r="V248" s="80" cm="1">
        <f t="array" ref="V248">IF($L$2&lt;&gt;1,IRR(IF(ROW($P$36:P248)=ROW(P248),P248+K248+J248,$P$36:P248),V247/12)*12,0)</f>
        <v>0.11440103237887378</v>
      </c>
      <c r="W248" s="83">
        <f>(1+V248/12)^(B248)-1</f>
        <v>6.4746087396752268</v>
      </c>
    </row>
    <row r="249" spans="2:23" x14ac:dyDescent="0.25">
      <c r="B249" s="33">
        <v>213</v>
      </c>
      <c r="C249" s="105">
        <f t="shared" si="31"/>
        <v>3.9789301544717048E-3</v>
      </c>
      <c r="D249" s="106">
        <f t="shared" si="34"/>
        <v>0.42920076476096825</v>
      </c>
      <c r="E249" s="60">
        <f>rate</f>
        <v>3.5145930840192463E-3</v>
      </c>
      <c r="F249" s="31">
        <f>IF(AND(B248&gt;=gracia,12*años+gracia-B248&gt;0,$L$2&lt;&gt;1),PMT(E248,12*años-B248+gracia,-J248),0)</f>
        <v>-21.169659704331615</v>
      </c>
      <c r="G249" s="31">
        <f>IF(AND(12*años+gracia-B248&gt;0,$L$2&lt;&gt;1),J248*E249,0)</f>
        <v>-8.8367585106045539</v>
      </c>
      <c r="H249" s="31">
        <f>IF(AND(12*años+gracia-B248&gt;0,$L$2&lt;&gt;1),F249-G249,0)</f>
        <v>-12.332901193727061</v>
      </c>
      <c r="I249" s="62"/>
      <c r="J249" s="61">
        <f>J248-H249-I249</f>
        <v>-2501.9719697698679</v>
      </c>
      <c r="K249" s="61">
        <f>K248*(1+$J$17)^(1/12)</f>
        <v>13221.385442569483</v>
      </c>
      <c r="L249" s="31">
        <f t="shared" si="35"/>
        <v>16</v>
      </c>
      <c r="M249" s="31">
        <f t="shared" si="36"/>
        <v>-2.6666666666666661</v>
      </c>
      <c r="N249" s="31">
        <f t="shared" si="37"/>
        <v>-2.35</v>
      </c>
      <c r="O249" s="62"/>
      <c r="P249" s="31">
        <f>O249+N249+M249+L249+I249+F249</f>
        <v>-10.18632637099828</v>
      </c>
      <c r="Q249" s="31">
        <f>SUM($P$36:P249)</f>
        <v>-2663.9095587966563</v>
      </c>
      <c r="R249" s="83">
        <f t="shared" si="38"/>
        <v>-0.18524237837787905</v>
      </c>
      <c r="S249" s="31">
        <f>SUMPRODUCT($P$36:P249,$D$36:D249)/D249-Q249</f>
        <v>-1896.325576120043</v>
      </c>
      <c r="T249" s="31">
        <f t="shared" si="32"/>
        <v>8055.5039140029585</v>
      </c>
      <c r="U249" s="31">
        <f t="shared" si="33"/>
        <v>8676.7439140029583</v>
      </c>
      <c r="V249" s="80" cm="1">
        <f t="array" ref="V249">IF($L$2&lt;&gt;1,IRR(IF(ROW($P$36:P249)=ROW(P249),P249+K249+J249,$P$36:P249),V248/12)*12,0)</f>
        <v>0.11416064755309296</v>
      </c>
      <c r="W249" s="83">
        <f>(1+V249/12)^(B249)-1</f>
        <v>6.5140414179523098</v>
      </c>
    </row>
    <row r="250" spans="2:23" x14ac:dyDescent="0.25">
      <c r="B250" s="33">
        <v>214</v>
      </c>
      <c r="C250" s="105">
        <f t="shared" si="31"/>
        <v>3.9789301544717048E-3</v>
      </c>
      <c r="D250" s="106">
        <f t="shared" si="34"/>
        <v>0.42749977302305697</v>
      </c>
      <c r="E250" s="60">
        <f>rate</f>
        <v>3.5145930840192463E-3</v>
      </c>
      <c r="F250" s="31">
        <f>IF(AND(B249&gt;=gracia,12*años+gracia-B249&gt;0,$L$2&lt;&gt;1),PMT(E249,12*años-B249+gracia,-J249),0)</f>
        <v>-21.169659704331611</v>
      </c>
      <c r="G250" s="31">
        <f>IF(AND(12*años+gracia-B249&gt;0,$L$2&lt;&gt;1),J249*E250,0)</f>
        <v>-8.7934133813631892</v>
      </c>
      <c r="H250" s="31">
        <f>IF(AND(12*años+gracia-B249&gt;0,$L$2&lt;&gt;1),F250-G250,0)</f>
        <v>-12.376246322968422</v>
      </c>
      <c r="I250" s="62"/>
      <c r="J250" s="61">
        <f>J249-H250-I250</f>
        <v>-2489.5957234468997</v>
      </c>
      <c r="K250" s="61">
        <f>K249*(1+$J$17)^(1/12)</f>
        <v>13285.741204755081</v>
      </c>
      <c r="L250" s="31">
        <f t="shared" si="35"/>
        <v>16</v>
      </c>
      <c r="M250" s="31">
        <f t="shared" si="36"/>
        <v>-2.6666666666666661</v>
      </c>
      <c r="N250" s="31">
        <f t="shared" si="37"/>
        <v>-2.35</v>
      </c>
      <c r="O250" s="62"/>
      <c r="P250" s="31">
        <f>O250+N250+M250+L250+I250+F250</f>
        <v>-10.186326370998277</v>
      </c>
      <c r="Q250" s="31">
        <f>SUM($P$36:P250)</f>
        <v>-2674.0958851676546</v>
      </c>
      <c r="R250" s="83">
        <f t="shared" si="38"/>
        <v>-0.18529620456112084</v>
      </c>
      <c r="S250" s="31">
        <f>SUMPRODUCT($P$36:P250,$D$36:D250)/D250-Q250</f>
        <v>-1914.4704332098449</v>
      </c>
      <c r="T250" s="31">
        <f t="shared" si="32"/>
        <v>8122.0495961405268</v>
      </c>
      <c r="U250" s="31">
        <f t="shared" si="33"/>
        <v>8743.2895961405266</v>
      </c>
      <c r="V250" s="80" cm="1">
        <f t="array" ref="V250">IF($L$2&lt;&gt;1,IRR(IF(ROW($P$36:P250)=ROW(P250),P250+K250+J250,$P$36:P250),V249/12)*12,0)</f>
        <v>0.11392202538847851</v>
      </c>
      <c r="W250" s="83">
        <f>(1+V250/12)^(B250)-1</f>
        <v>6.5536169226707788</v>
      </c>
    </row>
    <row r="251" spans="2:23" x14ac:dyDescent="0.25">
      <c r="B251" s="33">
        <v>215</v>
      </c>
      <c r="C251" s="105">
        <f t="shared" si="31"/>
        <v>3.9789301544717048E-3</v>
      </c>
      <c r="D251" s="106">
        <f t="shared" si="34"/>
        <v>0.42580552258928589</v>
      </c>
      <c r="E251" s="60">
        <f>rate</f>
        <v>3.5145930840192463E-3</v>
      </c>
      <c r="F251" s="31">
        <f>IF(AND(B250&gt;=gracia,12*años+gracia-B250&gt;0,$L$2&lt;&gt;1),PMT(E250,12*años-B250+gracia,-J250),0)</f>
        <v>-21.169659704331618</v>
      </c>
      <c r="G251" s="31">
        <f>IF(AND(12*años+gracia-B250&gt;0,$L$2&lt;&gt;1),J250*E251,0)</f>
        <v>-8.7499159116303655</v>
      </c>
      <c r="H251" s="31">
        <f>IF(AND(12*años+gracia-B250&gt;0,$L$2&lt;&gt;1),F251-G251,0)</f>
        <v>-12.419743792701253</v>
      </c>
      <c r="I251" s="62"/>
      <c r="J251" s="61">
        <f>J250-H251-I251</f>
        <v>-2477.1759796541983</v>
      </c>
      <c r="K251" s="61">
        <f>K250*(1+$J$17)^(1/12)</f>
        <v>13350.410221867287</v>
      </c>
      <c r="L251" s="31">
        <f t="shared" si="35"/>
        <v>16</v>
      </c>
      <c r="M251" s="31">
        <f t="shared" si="36"/>
        <v>-2.6666666666666661</v>
      </c>
      <c r="N251" s="31">
        <f t="shared" si="37"/>
        <v>-2.35</v>
      </c>
      <c r="O251" s="62"/>
      <c r="P251" s="31">
        <f>O251+N251+M251+L251+I251+F251</f>
        <v>-10.186326370998284</v>
      </c>
      <c r="Q251" s="31">
        <f>SUM($P$36:P251)</f>
        <v>-2684.282211538653</v>
      </c>
      <c r="R251" s="83">
        <f t="shared" si="38"/>
        <v>-0.18534953003568133</v>
      </c>
      <c r="S251" s="31">
        <f>SUMPRODUCT($P$36:P251,$D$36:D251)/D251-Q251</f>
        <v>-1932.72801809983</v>
      </c>
      <c r="T251" s="31">
        <f t="shared" si="32"/>
        <v>8188.9520306744362</v>
      </c>
      <c r="U251" s="31">
        <f t="shared" si="33"/>
        <v>8810.192030674436</v>
      </c>
      <c r="V251" s="80" cm="1">
        <f t="array" ref="V251">IF($L$2&lt;&gt;1,IRR(IF(ROW($P$36:P251)=ROW(P251),P251+K251+J251,$P$36:P251),V250/12)*12,0)</f>
        <v>0.11368514722969447</v>
      </c>
      <c r="W251" s="83">
        <f>(1+V251/12)^(B251)-1</f>
        <v>6.5933361265626784</v>
      </c>
    </row>
    <row r="252" spans="2:23" x14ac:dyDescent="0.25">
      <c r="B252" s="33">
        <v>216</v>
      </c>
      <c r="C252" s="105">
        <f t="shared" si="31"/>
        <v>3.9789301544717048E-3</v>
      </c>
      <c r="D252" s="106">
        <f t="shared" si="34"/>
        <v>0.42411798674278123</v>
      </c>
      <c r="E252" s="60">
        <f>rate</f>
        <v>3.5145930840192463E-3</v>
      </c>
      <c r="F252" s="31">
        <f>IF(AND(B251&gt;=gracia,12*años+gracia-B251&gt;0,$L$2&lt;&gt;1),PMT(E251,12*años-B251+gracia,-J251),0)</f>
        <v>-21.169659704331615</v>
      </c>
      <c r="G252" s="31">
        <f>IF(AND(12*años+gracia-B251&gt;0,$L$2&lt;&gt;1),J251*E252,0)</f>
        <v>-8.7062655659912469</v>
      </c>
      <c r="H252" s="31">
        <f>IF(AND(12*años+gracia-B251&gt;0,$L$2&lt;&gt;1),F252-G252,0)</f>
        <v>-12.463394138340368</v>
      </c>
      <c r="I252" s="62"/>
      <c r="J252" s="61">
        <f>J251-H252-I252</f>
        <v>-2464.7125855158579</v>
      </c>
      <c r="K252" s="61">
        <f>K251*(1+$J$17)^(1/12)</f>
        <v>13415.394018690298</v>
      </c>
      <c r="L252" s="31">
        <f t="shared" si="35"/>
        <v>16</v>
      </c>
      <c r="M252" s="31">
        <f t="shared" si="36"/>
        <v>-2.6666666666666661</v>
      </c>
      <c r="N252" s="31">
        <f t="shared" si="37"/>
        <v>-2.35</v>
      </c>
      <c r="O252" s="62"/>
      <c r="P252" s="31">
        <f>O252+N252+M252+L252+I252+F252</f>
        <v>-10.18632637099828</v>
      </c>
      <c r="Q252" s="31">
        <f>SUM($P$36:P252)</f>
        <v>-2694.4685379096513</v>
      </c>
      <c r="R252" s="83">
        <f t="shared" si="38"/>
        <v>-0.18540236175584771</v>
      </c>
      <c r="S252" s="31">
        <f>SUMPRODUCT($P$36:P252,$D$36:D252)/D252-Q252</f>
        <v>-1951.0987793260424</v>
      </c>
      <c r="T252" s="31">
        <f t="shared" si="32"/>
        <v>8256.212895264789</v>
      </c>
      <c r="U252" s="31">
        <f t="shared" si="33"/>
        <v>8877.4528952647888</v>
      </c>
      <c r="V252" s="80" cm="1">
        <f t="array" ref="V252">IF($L$2&lt;&gt;1,IRR(IF(ROW($P$36:P252)=ROW(P252),P252+K252+J252,$P$36:P252),V251/12)*12,0)</f>
        <v>0.11344999467917738</v>
      </c>
      <c r="W252" s="83">
        <f>(1+V252/12)^(B252)-1</f>
        <v>6.6331999039440754</v>
      </c>
    </row>
    <row r="253" spans="2:23" x14ac:dyDescent="0.25">
      <c r="B253" s="33">
        <v>217</v>
      </c>
      <c r="C253" s="105">
        <f t="shared" si="31"/>
        <v>3.9789301544717048E-3</v>
      </c>
      <c r="D253" s="106">
        <f t="shared" si="34"/>
        <v>0.42243713887255246</v>
      </c>
      <c r="E253" s="60">
        <f>rate</f>
        <v>3.5145930840192463E-3</v>
      </c>
      <c r="F253" s="31">
        <f>IF(AND(B252&gt;=gracia,12*años+gracia-B252&gt;0,$L$2&lt;&gt;1),PMT(E252,12*años-B252+gracia,-J252),0)</f>
        <v>-21.169659704331615</v>
      </c>
      <c r="G253" s="31">
        <f>IF(AND(12*años+gracia-B252&gt;0,$L$2&lt;&gt;1),J252*E253,0)</f>
        <v>-8.6624618071492296</v>
      </c>
      <c r="H253" s="31">
        <f>IF(AND(12*años+gracia-B252&gt;0,$L$2&lt;&gt;1),F253-G253,0)</f>
        <v>-12.507197897182385</v>
      </c>
      <c r="I253" s="62"/>
      <c r="J253" s="61">
        <f>J252-H253-I253</f>
        <v>-2452.2053876186756</v>
      </c>
      <c r="K253" s="61">
        <f>K252*(1+$J$17)^(1/12)</f>
        <v>13480.694127430274</v>
      </c>
      <c r="L253" s="31">
        <f t="shared" si="35"/>
        <v>16</v>
      </c>
      <c r="M253" s="31">
        <f t="shared" si="36"/>
        <v>-2.6666666666666661</v>
      </c>
      <c r="N253" s="31">
        <f t="shared" si="37"/>
        <v>-2.35</v>
      </c>
      <c r="O253" s="62"/>
      <c r="P253" s="31">
        <f>O253+N253+M253+L253+I253+F253</f>
        <v>-10.18632637099828</v>
      </c>
      <c r="Q253" s="31">
        <f>SUM($P$36:P253)</f>
        <v>-2704.6548642806497</v>
      </c>
      <c r="R253" s="83">
        <f t="shared" si="38"/>
        <v>-0.18545470654771765</v>
      </c>
      <c r="S253" s="31">
        <f>SUMPRODUCT($P$36:P253,$D$36:D253)/D253-Q253</f>
        <v>-1969.5831672092195</v>
      </c>
      <c r="T253" s="31">
        <f t="shared" si="32"/>
        <v>8323.8338755309487</v>
      </c>
      <c r="U253" s="31">
        <f t="shared" si="33"/>
        <v>8945.0738755309485</v>
      </c>
      <c r="V253" s="80" cm="1">
        <f t="array" ref="V253">IF($L$2&lt;&gt;1,IRR(IF(ROW($P$36:P253)=ROW(P253),P253+K253+J253,$P$36:P253),V252/12)*12,0)</f>
        <v>0.113216549592833</v>
      </c>
      <c r="W253" s="83">
        <f>(1+V253/12)^(B253)-1</f>
        <v>6.6732091307595063</v>
      </c>
    </row>
    <row r="254" spans="2:23" x14ac:dyDescent="0.25">
      <c r="B254" s="33">
        <v>218</v>
      </c>
      <c r="C254" s="105">
        <f t="shared" si="31"/>
        <v>3.9789301544717048E-3</v>
      </c>
      <c r="D254" s="106">
        <f t="shared" si="34"/>
        <v>0.42076295247307283</v>
      </c>
      <c r="E254" s="60">
        <f>rate</f>
        <v>3.5145930840192463E-3</v>
      </c>
      <c r="F254" s="31">
        <f>IF(AND(B253&gt;=gracia,12*años+gracia-B253&gt;0,$L$2&lt;&gt;1),PMT(E253,12*años-B253+gracia,-J253),0)</f>
        <v>-21.169659704331611</v>
      </c>
      <c r="G254" s="31">
        <f>IF(AND(12*años+gracia-B253&gt;0,$L$2&lt;&gt;1),J253*E254,0)</f>
        <v>-8.6185040959193326</v>
      </c>
      <c r="H254" s="31">
        <f>IF(AND(12*años+gracia-B253&gt;0,$L$2&lt;&gt;1),F254-G254,0)</f>
        <v>-12.551155608412278</v>
      </c>
      <c r="I254" s="62"/>
      <c r="J254" s="61">
        <f>J253-H254-I254</f>
        <v>-2439.6542320102631</v>
      </c>
      <c r="K254" s="61">
        <f>K253*(1+$J$17)^(1/12)</f>
        <v>13546.312087751463</v>
      </c>
      <c r="L254" s="31">
        <f t="shared" si="35"/>
        <v>16</v>
      </c>
      <c r="M254" s="31">
        <f t="shared" si="36"/>
        <v>-2.6666666666666661</v>
      </c>
      <c r="N254" s="31">
        <f t="shared" si="37"/>
        <v>-2.35</v>
      </c>
      <c r="O254" s="62"/>
      <c r="P254" s="31">
        <f>O254+N254+M254+L254+I254+F254</f>
        <v>-10.186326370998277</v>
      </c>
      <c r="Q254" s="31">
        <f>SUM($P$36:P254)</f>
        <v>-2714.841190651648</v>
      </c>
      <c r="R254" s="83">
        <f t="shared" si="38"/>
        <v>-0.18550657111213925</v>
      </c>
      <c r="S254" s="31">
        <f>SUMPRODUCT($P$36:P254,$D$36:D254)/D254-Q254</f>
        <v>-1988.1816338618933</v>
      </c>
      <c r="T254" s="31">
        <f t="shared" si="32"/>
        <v>8391.816665089551</v>
      </c>
      <c r="U254" s="31">
        <f t="shared" si="33"/>
        <v>9013.0566650895507</v>
      </c>
      <c r="V254" s="80" cm="1">
        <f t="array" ref="V254">IF($L$2&lt;&gt;1,IRR(IF(ROW($P$36:P254)=ROW(P254),P254+K254+J254,$P$36:P254),V253/12)*12,0)</f>
        <v>0.11298479407577311</v>
      </c>
      <c r="W254" s="83">
        <f>(1+V254/12)^(B254)-1</f>
        <v>6.7133646846198882</v>
      </c>
    </row>
    <row r="255" spans="2:23" x14ac:dyDescent="0.25">
      <c r="B255" s="33">
        <v>219</v>
      </c>
      <c r="C255" s="105">
        <f t="shared" si="31"/>
        <v>3.9789301544717048E-3</v>
      </c>
      <c r="D255" s="106">
        <f t="shared" si="34"/>
        <v>0.41909540114386112</v>
      </c>
      <c r="E255" s="60">
        <f>rate</f>
        <v>3.5145930840192463E-3</v>
      </c>
      <c r="F255" s="31">
        <f>IF(AND(B254&gt;=gracia,12*años+gracia-B254&gt;0,$L$2&lt;&gt;1),PMT(E254,12*años-B254+gracia,-J254),0)</f>
        <v>-21.169659704331615</v>
      </c>
      <c r="G255" s="31">
        <f>IF(AND(12*años+gracia-B254&gt;0,$L$2&lt;&gt;1),J254*E255,0)</f>
        <v>-8.5743918912215555</v>
      </c>
      <c r="H255" s="31">
        <f>IF(AND(12*años+gracia-B254&gt;0,$L$2&lt;&gt;1),F255-G255,0)</f>
        <v>-12.595267813110059</v>
      </c>
      <c r="I255" s="62"/>
      <c r="J255" s="61">
        <f>J254-H255-I255</f>
        <v>-2427.0589641971528</v>
      </c>
      <c r="K255" s="61">
        <f>K254*(1+$J$17)^(1/12)</f>
        <v>13612.249446812511</v>
      </c>
      <c r="L255" s="31">
        <f t="shared" si="35"/>
        <v>16</v>
      </c>
      <c r="M255" s="31">
        <f t="shared" si="36"/>
        <v>-2.6666666666666661</v>
      </c>
      <c r="N255" s="31">
        <f t="shared" si="37"/>
        <v>-2.35</v>
      </c>
      <c r="O255" s="62"/>
      <c r="P255" s="31">
        <f>O255+N255+M255+L255+I255+F255</f>
        <v>-10.18632637099828</v>
      </c>
      <c r="Q255" s="31">
        <f>SUM($P$36:P255)</f>
        <v>-2725.0275170226464</v>
      </c>
      <c r="R255" s="83">
        <f t="shared" si="38"/>
        <v>-0.18555796202757069</v>
      </c>
      <c r="S255" s="31">
        <f>SUMPRODUCT($P$36:P255,$D$36:D255)/D255-Q255</f>
        <v>-2006.8946331955181</v>
      </c>
      <c r="T255" s="31">
        <f t="shared" si="32"/>
        <v>8460.1629655927118</v>
      </c>
      <c r="U255" s="31">
        <f t="shared" si="33"/>
        <v>9081.4029655927116</v>
      </c>
      <c r="V255" s="80" cm="1">
        <f t="array" ref="V255">IF($L$2&lt;&gt;1,IRR(IF(ROW($P$36:P255)=ROW(P255),P255+K255+J255,$P$36:P255),V254/12)*12,0)</f>
        <v>0.11275471047818808</v>
      </c>
      <c r="W255" s="83">
        <f>(1+V255/12)^(B255)-1</f>
        <v>6.7536674448479159</v>
      </c>
    </row>
    <row r="256" spans="2:23" x14ac:dyDescent="0.25">
      <c r="B256" s="33">
        <v>220</v>
      </c>
      <c r="C256" s="105">
        <f t="shared" si="31"/>
        <v>3.9789301544717048E-3</v>
      </c>
      <c r="D256" s="106">
        <f t="shared" si="34"/>
        <v>0.41743445858906553</v>
      </c>
      <c r="E256" s="60">
        <f>rate</f>
        <v>3.5145930840192463E-3</v>
      </c>
      <c r="F256" s="31">
        <f>IF(AND(B255&gt;=gracia,12*años+gracia-B255&gt;0,$L$2&lt;&gt;1),PMT(E255,12*años-B255+gracia,-J255),0)</f>
        <v>-21.169659704331611</v>
      </c>
      <c r="G256" s="31">
        <f>IF(AND(12*años+gracia-B255&gt;0,$L$2&lt;&gt;1),J255*E256,0)</f>
        <v>-8.530124650074228</v>
      </c>
      <c r="H256" s="31">
        <f>IF(AND(12*años+gracia-B255&gt;0,$L$2&lt;&gt;1),F256-G256,0)</f>
        <v>-12.639535054257383</v>
      </c>
      <c r="I256" s="62"/>
      <c r="J256" s="61">
        <f>J255-H256-I256</f>
        <v>-2414.4194291428953</v>
      </c>
      <c r="K256" s="61">
        <f>K255*(1+$J$17)^(1/12)</f>
        <v>13678.507759302935</v>
      </c>
      <c r="L256" s="31">
        <f t="shared" si="35"/>
        <v>16</v>
      </c>
      <c r="M256" s="31">
        <f t="shared" si="36"/>
        <v>-2.6666666666666661</v>
      </c>
      <c r="N256" s="31">
        <f t="shared" si="37"/>
        <v>-2.35</v>
      </c>
      <c r="O256" s="62"/>
      <c r="P256" s="31">
        <f>O256+N256+M256+L256+I256+F256</f>
        <v>-10.186326370998277</v>
      </c>
      <c r="Q256" s="31">
        <f>SUM($P$36:P256)</f>
        <v>-2735.2138433936448</v>
      </c>
      <c r="R256" s="83">
        <f t="shared" si="38"/>
        <v>-0.18560888575286183</v>
      </c>
      <c r="S256" s="31">
        <f>SUMPRODUCT($P$36:P256,$D$36:D256)/D256-Q256</f>
        <v>-2025.7226209276337</v>
      </c>
      <c r="T256" s="31">
        <f t="shared" si="32"/>
        <v>8528.8744867663954</v>
      </c>
      <c r="U256" s="31">
        <f t="shared" si="33"/>
        <v>9150.1144867663952</v>
      </c>
      <c r="V256" s="80" cm="1">
        <f t="array" ref="V256">IF($L$2&lt;&gt;1,IRR(IF(ROW($P$36:P256)=ROW(P256),P256+K256+J256,$P$36:P256),V255/12)*12,0)</f>
        <v>0.1125262813912542</v>
      </c>
      <c r="W256" s="83">
        <f>(1+V256/12)^(B256)-1</f>
        <v>6.7941182925165897</v>
      </c>
    </row>
    <row r="257" spans="2:23" x14ac:dyDescent="0.25">
      <c r="B257" s="33">
        <v>221</v>
      </c>
      <c r="C257" s="105">
        <f t="shared" si="31"/>
        <v>3.9789301544717048E-3</v>
      </c>
      <c r="D257" s="106">
        <f t="shared" si="34"/>
        <v>0.41578009861704895</v>
      </c>
      <c r="E257" s="60">
        <f>rate</f>
        <v>3.5145930840192463E-3</v>
      </c>
      <c r="F257" s="31">
        <f>IF(AND(B256&gt;=gracia,12*años+gracia-B256&gt;0,$L$2&lt;&gt;1),PMT(E256,12*años-B256+gracia,-J256),0)</f>
        <v>-21.169659704331607</v>
      </c>
      <c r="G257" s="31">
        <f>IF(AND(12*años+gracia-B256&gt;0,$L$2&lt;&gt;1),J256*E257,0)</f>
        <v>-8.4857018275873166</v>
      </c>
      <c r="H257" s="31">
        <f>IF(AND(12*años+gracia-B256&gt;0,$L$2&lt;&gt;1),F257-G257,0)</f>
        <v>-12.683957876744291</v>
      </c>
      <c r="I257" s="62"/>
      <c r="J257" s="61">
        <f>J256-H257-I257</f>
        <v>-2401.7354712661509</v>
      </c>
      <c r="K257" s="61">
        <f>K256*(1+$J$17)^(1/12)</f>
        <v>13745.088587479779</v>
      </c>
      <c r="L257" s="31">
        <f t="shared" si="35"/>
        <v>16</v>
      </c>
      <c r="M257" s="31">
        <f t="shared" si="36"/>
        <v>-2.6666666666666661</v>
      </c>
      <c r="N257" s="31">
        <f t="shared" si="37"/>
        <v>-2.35</v>
      </c>
      <c r="O257" s="62"/>
      <c r="P257" s="31">
        <f>O257+N257+M257+L257+I257+F257</f>
        <v>-10.186326370998273</v>
      </c>
      <c r="Q257" s="31">
        <f>SUM($P$36:P257)</f>
        <v>-2745.4001697646431</v>
      </c>
      <c r="R257" s="83">
        <f t="shared" si="38"/>
        <v>-0.18565934862996031</v>
      </c>
      <c r="S257" s="31">
        <f>SUMPRODUCT($P$36:P257,$D$36:D257)/D257-Q257</f>
        <v>-2044.666054589045</v>
      </c>
      <c r="T257" s="31">
        <f t="shared" si="32"/>
        <v>8597.9529464489842</v>
      </c>
      <c r="U257" s="31">
        <f t="shared" si="33"/>
        <v>9219.192946448984</v>
      </c>
      <c r="V257" s="80" cm="1">
        <f t="array" ref="V257">IF($L$2&lt;&gt;1,IRR(IF(ROW($P$36:P257)=ROW(P257),P257+K257+J257,$P$36:P257),V256/12)*12,0)</f>
        <v>0.1122994896431555</v>
      </c>
      <c r="W257" s="83">
        <f>(1+V257/12)^(B257)-1</f>
        <v>6.8347181104930756</v>
      </c>
    </row>
    <row r="258" spans="2:23" x14ac:dyDescent="0.25">
      <c r="B258" s="33">
        <v>222</v>
      </c>
      <c r="C258" s="105">
        <f t="shared" si="31"/>
        <v>3.9789301544717048E-3</v>
      </c>
      <c r="D258" s="106">
        <f t="shared" si="34"/>
        <v>0.4141322951399759</v>
      </c>
      <c r="E258" s="60">
        <f>rate</f>
        <v>3.5145930840192463E-3</v>
      </c>
      <c r="F258" s="31">
        <f>IF(AND(B257&gt;=gracia,12*años+gracia-B257&gt;0,$L$2&lt;&gt;1),PMT(E257,12*años-B257+gracia,-J257),0)</f>
        <v>-21.169659704331607</v>
      </c>
      <c r="G258" s="31">
        <f>IF(AND(12*años+gracia-B257&gt;0,$L$2&lt;&gt;1),J257*E258,0)</f>
        <v>-8.4411228769557187</v>
      </c>
      <c r="H258" s="31">
        <f>IF(AND(12*años+gracia-B257&gt;0,$L$2&lt;&gt;1),F258-G258,0)</f>
        <v>-12.728536827375889</v>
      </c>
      <c r="I258" s="62"/>
      <c r="J258" s="61">
        <f>J257-H258-I258</f>
        <v>-2389.0069344387748</v>
      </c>
      <c r="K258" s="61">
        <f>K257*(1+$J$17)^(1/12)</f>
        <v>13811.993501204455</v>
      </c>
      <c r="L258" s="31">
        <f t="shared" si="35"/>
        <v>16</v>
      </c>
      <c r="M258" s="31">
        <f t="shared" si="36"/>
        <v>-2.6666666666666661</v>
      </c>
      <c r="N258" s="31">
        <f t="shared" si="37"/>
        <v>-2.35</v>
      </c>
      <c r="O258" s="62"/>
      <c r="P258" s="31">
        <f>O258+N258+M258+L258+I258+F258</f>
        <v>-10.186326370998273</v>
      </c>
      <c r="Q258" s="31">
        <f>SUM($P$36:P258)</f>
        <v>-2755.5864961356415</v>
      </c>
      <c r="R258" s="83">
        <f t="shared" si="38"/>
        <v>-0.18570935688654436</v>
      </c>
      <c r="S258" s="31">
        <f>SUMPRODUCT($P$36:P258,$D$36:D258)/D258-Q258</f>
        <v>-2063.7253935310423</v>
      </c>
      <c r="T258" s="31">
        <f t="shared" si="32"/>
        <v>8667.4000706300394</v>
      </c>
      <c r="U258" s="31">
        <f t="shared" si="33"/>
        <v>9288.6400706300392</v>
      </c>
      <c r="V258" s="80" cm="1">
        <f t="array" ref="V258">IF($L$2&lt;&gt;1,IRR(IF(ROW($P$36:P258)=ROW(P258),P258+K258+J258,$P$36:P258),V257/12)*12,0)</f>
        <v>0.11207431829513759</v>
      </c>
      <c r="W258" s="83">
        <f>(1+V258/12)^(B258)-1</f>
        <v>6.8754677834757958</v>
      </c>
    </row>
    <row r="259" spans="2:23" x14ac:dyDescent="0.25">
      <c r="B259" s="33">
        <v>223</v>
      </c>
      <c r="C259" s="105">
        <f t="shared" si="31"/>
        <v>3.9789301544717048E-3</v>
      </c>
      <c r="D259" s="106">
        <f t="shared" si="34"/>
        <v>0.41249102217340128</v>
      </c>
      <c r="E259" s="60">
        <f>rate</f>
        <v>3.5145930840192463E-3</v>
      </c>
      <c r="F259" s="31">
        <f>IF(AND(B258&gt;=gracia,12*años+gracia-B258&gt;0,$L$2&lt;&gt;1),PMT(E258,12*años-B258+gracia,-J258),0)</f>
        <v>-21.169659704331607</v>
      </c>
      <c r="G259" s="31">
        <f>IF(AND(12*años+gracia-B258&gt;0,$L$2&lt;&gt;1),J258*E259,0)</f>
        <v>-8.3963872494525393</v>
      </c>
      <c r="H259" s="31">
        <f>IF(AND(12*años+gracia-B258&gt;0,$L$2&lt;&gt;1),F259-G259,0)</f>
        <v>-12.773272454879068</v>
      </c>
      <c r="I259" s="62"/>
      <c r="J259" s="61">
        <f>J258-H259-I259</f>
        <v>-2376.2336619838957</v>
      </c>
      <c r="K259" s="61">
        <f>K258*(1+$J$17)^(1/12)</f>
        <v>13879.224077979758</v>
      </c>
      <c r="L259" s="31">
        <f t="shared" si="35"/>
        <v>16</v>
      </c>
      <c r="M259" s="31">
        <f t="shared" si="36"/>
        <v>-2.6666666666666661</v>
      </c>
      <c r="N259" s="31">
        <f t="shared" si="37"/>
        <v>-2.35</v>
      </c>
      <c r="O259" s="62"/>
      <c r="P259" s="31">
        <f>O259+N259+M259+L259+I259+F259</f>
        <v>-10.186326370998273</v>
      </c>
      <c r="Q259" s="31">
        <f>SUM($P$36:P259)</f>
        <v>-2765.7728225066398</v>
      </c>
      <c r="R259" s="83">
        <f t="shared" si="38"/>
        <v>-0.1857589166385851</v>
      </c>
      <c r="S259" s="31">
        <f>SUMPRODUCT($P$36:P259,$D$36:D259)/D259-Q259</f>
        <v>-2082.9010989326421</v>
      </c>
      <c r="T259" s="31">
        <f t="shared" si="32"/>
        <v>8737.2175934892221</v>
      </c>
      <c r="U259" s="31">
        <f t="shared" si="33"/>
        <v>9358.4575934892218</v>
      </c>
      <c r="V259" s="80" cm="1">
        <f t="array" ref="V259">IF($L$2&lt;&gt;1,IRR(IF(ROW($P$36:P259)=ROW(P259),P259+K259+J259,$P$36:P259),V258/12)*12,0)</f>
        <v>0.11185075063768135</v>
      </c>
      <c r="W259" s="83">
        <f>(1+V259/12)^(B259)-1</f>
        <v>6.9163681980362099</v>
      </c>
    </row>
    <row r="260" spans="2:23" x14ac:dyDescent="0.25">
      <c r="B260" s="33">
        <v>224</v>
      </c>
      <c r="C260" s="105">
        <f t="shared" si="31"/>
        <v>3.9789301544717048E-3</v>
      </c>
      <c r="D260" s="106">
        <f t="shared" si="34"/>
        <v>0.4108562538358605</v>
      </c>
      <c r="E260" s="60">
        <f>rate</f>
        <v>3.5145930840192463E-3</v>
      </c>
      <c r="F260" s="31">
        <f>IF(AND(B259&gt;=gracia,12*años+gracia-B259&gt;0,$L$2&lt;&gt;1),PMT(E259,12*años-B259+gracia,-J259),0)</f>
        <v>-21.169659704331607</v>
      </c>
      <c r="G260" s="31">
        <f>IF(AND(12*años+gracia-B259&gt;0,$L$2&lt;&gt;1),J259*E260,0)</f>
        <v>-8.3514943944223266</v>
      </c>
      <c r="H260" s="31">
        <f>IF(AND(12*años+gracia-B259&gt;0,$L$2&lt;&gt;1),F260-G260,0)</f>
        <v>-12.818165309909281</v>
      </c>
      <c r="I260" s="62"/>
      <c r="J260" s="61">
        <f>J259-H260-I260</f>
        <v>-2363.4154966739866</v>
      </c>
      <c r="K260" s="61">
        <f>K259*(1+$J$17)^(1/12)</f>
        <v>13946.781902987052</v>
      </c>
      <c r="L260" s="31">
        <f t="shared" si="35"/>
        <v>16</v>
      </c>
      <c r="M260" s="31">
        <f t="shared" si="36"/>
        <v>-2.6666666666666661</v>
      </c>
      <c r="N260" s="31">
        <f t="shared" si="37"/>
        <v>-2.35</v>
      </c>
      <c r="O260" s="62"/>
      <c r="P260" s="31">
        <f>O260+N260+M260+L260+I260+F260</f>
        <v>-10.186326370998273</v>
      </c>
      <c r="Q260" s="31">
        <f>SUM($P$36:P260)</f>
        <v>-2775.9591488776382</v>
      </c>
      <c r="R260" s="83">
        <f t="shared" si="38"/>
        <v>-0.18580803389283973</v>
      </c>
      <c r="S260" s="31">
        <f>SUMPRODUCT($P$36:P260,$D$36:D260)/D260-Q260</f>
        <v>-2102.1936338078572</v>
      </c>
      <c r="T260" s="31">
        <f t="shared" si="32"/>
        <v>8807.4072574354268</v>
      </c>
      <c r="U260" s="31">
        <f t="shared" si="33"/>
        <v>9428.6472574354266</v>
      </c>
      <c r="V260" s="80" cm="1">
        <f t="array" ref="V260">IF($L$2&lt;&gt;1,IRR(IF(ROW($P$36:P260)=ROW(P260),P260+K260+J260,$P$36:P260),V259/12)*12,0)</f>
        <v>0.11162877018672202</v>
      </c>
      <c r="W260" s="83">
        <f>(1+V260/12)^(B260)-1</f>
        <v>6.9574202426595555</v>
      </c>
    </row>
    <row r="261" spans="2:23" x14ac:dyDescent="0.25">
      <c r="B261" s="33">
        <v>225</v>
      </c>
      <c r="C261" s="105">
        <f t="shared" si="31"/>
        <v>3.9789301544717048E-3</v>
      </c>
      <c r="D261" s="106">
        <f t="shared" si="34"/>
        <v>0.40922796434846131</v>
      </c>
      <c r="E261" s="60">
        <f>rate</f>
        <v>3.5145930840192463E-3</v>
      </c>
      <c r="F261" s="31">
        <f>IF(AND(B260&gt;=gracia,12*años+gracia-B260&gt;0,$L$2&lt;&gt;1),PMT(E260,12*años-B260+gracia,-J260),0)</f>
        <v>-21.169659704331607</v>
      </c>
      <c r="G261" s="31">
        <f>IF(AND(12*años+gracia-B260&gt;0,$L$2&lt;&gt;1),J260*E261,0)</f>
        <v>-8.3064437592743054</v>
      </c>
      <c r="H261" s="31">
        <f>IF(AND(12*años+gracia-B260&gt;0,$L$2&lt;&gt;1),F261-G261,0)</f>
        <v>-12.863215945057302</v>
      </c>
      <c r="I261" s="62"/>
      <c r="J261" s="61">
        <f>J260-H261-I261</f>
        <v>-2350.5522807289294</v>
      </c>
      <c r="K261" s="61">
        <f>K260*(1+$J$17)^(1/12)</f>
        <v>14014.668569123653</v>
      </c>
      <c r="L261" s="31">
        <f t="shared" si="35"/>
        <v>16</v>
      </c>
      <c r="M261" s="31">
        <f t="shared" si="36"/>
        <v>-2.6666666666666661</v>
      </c>
      <c r="N261" s="31">
        <f t="shared" si="37"/>
        <v>-2.35</v>
      </c>
      <c r="O261" s="62"/>
      <c r="P261" s="31">
        <f>O261+N261+M261+L261+I261+F261</f>
        <v>-10.186326370998273</v>
      </c>
      <c r="Q261" s="31">
        <f>SUM($P$36:P261)</f>
        <v>-2786.1454752486366</v>
      </c>
      <c r="R261" s="83">
        <f t="shared" si="38"/>
        <v>-0.18585671454927874</v>
      </c>
      <c r="S261" s="31">
        <f>SUMPRODUCT($P$36:P261,$D$36:D261)/D261-Q261</f>
        <v>-2121.6034630130048</v>
      </c>
      <c r="T261" s="31">
        <f t="shared" si="32"/>
        <v>8877.9708131460866</v>
      </c>
      <c r="U261" s="31">
        <f t="shared" si="33"/>
        <v>9499.2108131460864</v>
      </c>
      <c r="V261" s="80" cm="1">
        <f t="array" ref="V261">IF($L$2&lt;&gt;1,IRR(IF(ROW($P$36:P261)=ROW(P261),P261+K261+J261,$P$36:P261),V260/12)*12,0)</f>
        <v>0.11140836067993742</v>
      </c>
      <c r="W261" s="83">
        <f>(1+V261/12)^(B261)-1</f>
        <v>6.9986248077813489</v>
      </c>
    </row>
    <row r="262" spans="2:23" x14ac:dyDescent="0.25">
      <c r="B262" s="33">
        <v>226</v>
      </c>
      <c r="C262" s="105">
        <f t="shared" si="31"/>
        <v>3.9789301544717048E-3</v>
      </c>
      <c r="D262" s="106">
        <f t="shared" si="34"/>
        <v>0.40760612803447749</v>
      </c>
      <c r="E262" s="60">
        <f>rate</f>
        <v>3.5145930840192463E-3</v>
      </c>
      <c r="F262" s="31">
        <f>IF(AND(B261&gt;=gracia,12*años+gracia-B261&gt;0,$L$2&lt;&gt;1),PMT(E261,12*años-B261+gracia,-J261),0)</f>
        <v>-21.169659704331607</v>
      </c>
      <c r="G262" s="31">
        <f>IF(AND(12*años+gracia-B261&gt;0,$L$2&lt;&gt;1),J261*E262,0)</f>
        <v>-8.2612347894755604</v>
      </c>
      <c r="H262" s="31">
        <f>IF(AND(12*años+gracia-B261&gt;0,$L$2&lt;&gt;1),F262-G262,0)</f>
        <v>-12.908424914856047</v>
      </c>
      <c r="I262" s="62"/>
      <c r="J262" s="61">
        <f>J261-H262-I262</f>
        <v>-2337.6438558140735</v>
      </c>
      <c r="K262" s="61">
        <f>K261*(1+$J$17)^(1/12)</f>
        <v>14082.885677040385</v>
      </c>
      <c r="L262" s="31">
        <f t="shared" si="35"/>
        <v>16</v>
      </c>
      <c r="M262" s="31">
        <f t="shared" si="36"/>
        <v>-2.6666666666666661</v>
      </c>
      <c r="N262" s="31">
        <f t="shared" si="37"/>
        <v>-2.35</v>
      </c>
      <c r="O262" s="62"/>
      <c r="P262" s="31">
        <f>O262+N262+M262+L262+I262+F262</f>
        <v>-10.186326370998273</v>
      </c>
      <c r="Q262" s="31">
        <f>SUM($P$36:P262)</f>
        <v>-2796.3318016196349</v>
      </c>
      <c r="R262" s="83">
        <f t="shared" si="38"/>
        <v>-0.18590496440344842</v>
      </c>
      <c r="S262" s="31">
        <f>SUMPRODUCT($P$36:P262,$D$36:D262)/D262-Q262</f>
        <v>-2141.1310532540306</v>
      </c>
      <c r="T262" s="31">
        <f t="shared" si="32"/>
        <v>8948.9100196066775</v>
      </c>
      <c r="U262" s="31">
        <f t="shared" si="33"/>
        <v>9570.1500196066772</v>
      </c>
      <c r="V262" s="80" cm="1">
        <f t="array" ref="V262">IF($L$2&lt;&gt;1,IRR(IF(ROW($P$36:P262)=ROW(P262),P262+K262+J262,$P$36:P262),V261/12)*12,0)</f>
        <v>0.1111895060731376</v>
      </c>
      <c r="W262" s="83">
        <f>(1+V262/12)^(B262)-1</f>
        <v>7.0399827858312207</v>
      </c>
    </row>
    <row r="263" spans="2:23" x14ac:dyDescent="0.25">
      <c r="B263" s="33">
        <v>227</v>
      </c>
      <c r="C263" s="105">
        <f t="shared" si="31"/>
        <v>3.9789301544717048E-3</v>
      </c>
      <c r="D263" s="106">
        <f t="shared" si="34"/>
        <v>0.4059907193189437</v>
      </c>
      <c r="E263" s="60">
        <f>rate</f>
        <v>3.5145930840192463E-3</v>
      </c>
      <c r="F263" s="31">
        <f>IF(AND(B262&gt;=gracia,12*años+gracia-B262&gt;0,$L$2&lt;&gt;1),PMT(E262,12*años-B262+gracia,-J262),0)</f>
        <v>-21.169659704331611</v>
      </c>
      <c r="G263" s="31">
        <f>IF(AND(12*años+gracia-B262&gt;0,$L$2&lt;&gt;1),J262*E263,0)</f>
        <v>-8.2158669285442265</v>
      </c>
      <c r="H263" s="31">
        <f>IF(AND(12*años+gracia-B262&gt;0,$L$2&lt;&gt;1),F263-G263,0)</f>
        <v>-12.953792775787385</v>
      </c>
      <c r="I263" s="62"/>
      <c r="J263" s="61">
        <f>J262-H263-I263</f>
        <v>-2324.6900630382861</v>
      </c>
      <c r="K263" s="61">
        <f>K262*(1+$J$17)^(1/12)</f>
        <v>14151.434835179325</v>
      </c>
      <c r="L263" s="31">
        <f t="shared" si="35"/>
        <v>16</v>
      </c>
      <c r="M263" s="31">
        <f t="shared" si="36"/>
        <v>-2.6666666666666661</v>
      </c>
      <c r="N263" s="31">
        <f t="shared" si="37"/>
        <v>-2.35</v>
      </c>
      <c r="O263" s="62"/>
      <c r="P263" s="31">
        <f>O263+N263+M263+L263+I263+F263</f>
        <v>-10.186326370998277</v>
      </c>
      <c r="Q263" s="31">
        <f>SUM($P$36:P263)</f>
        <v>-2806.5181279906333</v>
      </c>
      <c r="R263" s="83">
        <f t="shared" si="38"/>
        <v>-0.18595278914877081</v>
      </c>
      <c r="S263" s="31">
        <f>SUMPRODUCT($P$36:P263,$D$36:D263)/D263-Q263</f>
        <v>-2160.776873093871</v>
      </c>
      <c r="T263" s="31">
        <f t="shared" si="32"/>
        <v>9020.2266441504053</v>
      </c>
      <c r="U263" s="31">
        <f t="shared" si="33"/>
        <v>9641.466644150405</v>
      </c>
      <c r="V263" s="80" cm="1">
        <f t="array" ref="V263">IF($L$2&lt;&gt;1,IRR(IF(ROW($P$36:P263)=ROW(P263),P263+K263+J263,$P$36:P263),V262/12)*12,0)</f>
        <v>0.11097219053667562</v>
      </c>
      <c r="W263" s="83">
        <f>(1+V263/12)^(B263)-1</f>
        <v>7.0814950712667208</v>
      </c>
    </row>
    <row r="264" spans="2:23" x14ac:dyDescent="0.25">
      <c r="B264" s="33">
        <v>228</v>
      </c>
      <c r="C264" s="105">
        <f t="shared" si="31"/>
        <v>3.9789301544717048E-3</v>
      </c>
      <c r="D264" s="106">
        <f t="shared" si="34"/>
        <v>0.40438171272825235</v>
      </c>
      <c r="E264" s="60">
        <f>rate</f>
        <v>3.5145930840192463E-3</v>
      </c>
      <c r="F264" s="31">
        <f>IF(AND(B263&gt;=gracia,12*años+gracia-B263&gt;0,$L$2&lt;&gt;1),PMT(E263,12*años-B263+gracia,-J263),0)</f>
        <v>-21.169659704331607</v>
      </c>
      <c r="G264" s="31">
        <f>IF(AND(12*años+gracia-B263&gt;0,$L$2&lt;&gt;1),J263*E264,0)</f>
        <v>-8.1703396180426253</v>
      </c>
      <c r="H264" s="31">
        <f>IF(AND(12*años+gracia-B263&gt;0,$L$2&lt;&gt;1),F264-G264,0)</f>
        <v>-12.999320086288982</v>
      </c>
      <c r="I264" s="62"/>
      <c r="J264" s="61">
        <f>J263-H264-I264</f>
        <v>-2311.690742951997</v>
      </c>
      <c r="K264" s="61">
        <f>K263*(1+$J$17)^(1/12)</f>
        <v>14220.317659811717</v>
      </c>
      <c r="L264" s="31">
        <f t="shared" si="35"/>
        <v>16</v>
      </c>
      <c r="M264" s="31">
        <f t="shared" si="36"/>
        <v>-2.6666666666666661</v>
      </c>
      <c r="N264" s="31">
        <f t="shared" si="37"/>
        <v>-2.35</v>
      </c>
      <c r="O264" s="62"/>
      <c r="P264" s="31">
        <f>O264+N264+M264+L264+I264+F264</f>
        <v>-10.186326370998273</v>
      </c>
      <c r="Q264" s="31">
        <f>SUM($P$36:P264)</f>
        <v>-2816.7044543616316</v>
      </c>
      <c r="R264" s="83">
        <f t="shared" si="38"/>
        <v>-0.18600019437878329</v>
      </c>
      <c r="S264" s="31">
        <f>SUMPRODUCT($P$36:P264,$D$36:D264)/D264-Q264</f>
        <v>-2180.5413929598421</v>
      </c>
      <c r="T264" s="31">
        <f t="shared" si="32"/>
        <v>9091.9224624980889</v>
      </c>
      <c r="U264" s="31">
        <f t="shared" si="33"/>
        <v>9713.1624624980886</v>
      </c>
      <c r="V264" s="80" cm="1">
        <f t="array" ref="V264">IF($L$2&lt;&gt;1,IRR(IF(ROW($P$36:P264)=ROW(P264),P264+K264+J264,$P$36:P264),V263/12)*12,0)</f>
        <v>0.11075639845195706</v>
      </c>
      <c r="W264" s="83">
        <f>(1+V264/12)^(B264)-1</f>
        <v>7.1231625606133679</v>
      </c>
    </row>
    <row r="265" spans="2:23" x14ac:dyDescent="0.25">
      <c r="B265" s="33">
        <v>229</v>
      </c>
      <c r="C265" s="105">
        <f t="shared" si="31"/>
        <v>3.9789301544717048E-3</v>
      </c>
      <c r="D265" s="106">
        <f t="shared" si="34"/>
        <v>0.40277908288975184</v>
      </c>
      <c r="E265" s="60">
        <f>rate</f>
        <v>3.5145930840192463E-3</v>
      </c>
      <c r="F265" s="31">
        <f>IF(AND(B264&gt;=gracia,12*años+gracia-B264&gt;0,$L$2&lt;&gt;1),PMT(E264,12*años-B264+gracia,-J264),0)</f>
        <v>-21.169659704331611</v>
      </c>
      <c r="G265" s="31">
        <f>IF(AND(12*años+gracia-B264&gt;0,$L$2&lt;&gt;1),J264*E265,0)</f>
        <v>-8.1246522975704014</v>
      </c>
      <c r="H265" s="31">
        <f>IF(AND(12*años+gracia-B264&gt;0,$L$2&lt;&gt;1),F265-G265,0)</f>
        <v>-13.04500740676121</v>
      </c>
      <c r="I265" s="62"/>
      <c r="J265" s="61">
        <f>J264-H265-I265</f>
        <v>-2298.6457355452358</v>
      </c>
      <c r="K265" s="61">
        <f>K264*(1+$J$17)^(1/12)</f>
        <v>14289.53577507609</v>
      </c>
      <c r="L265" s="31">
        <f t="shared" si="35"/>
        <v>16</v>
      </c>
      <c r="M265" s="31">
        <f t="shared" si="36"/>
        <v>-2.6666666666666661</v>
      </c>
      <c r="N265" s="31">
        <f t="shared" si="37"/>
        <v>-2.35</v>
      </c>
      <c r="O265" s="62"/>
      <c r="P265" s="31">
        <f>O265+N265+M265+L265+I265+F265</f>
        <v>-10.186326370998277</v>
      </c>
      <c r="Q265" s="31">
        <f>SUM($P$36:P265)</f>
        <v>-2826.89078073263</v>
      </c>
      <c r="R265" s="83">
        <f t="shared" si="38"/>
        <v>-0.18604718558931974</v>
      </c>
      <c r="S265" s="31">
        <f>SUMPRODUCT($P$36:P265,$D$36:D265)/D265-Q265</f>
        <v>-2200.4250851510583</v>
      </c>
      <c r="T265" s="31">
        <f t="shared" si="32"/>
        <v>9163.9992587982251</v>
      </c>
      <c r="U265" s="31">
        <f t="shared" si="33"/>
        <v>9785.2392587982249</v>
      </c>
      <c r="V265" s="80" cm="1">
        <f t="array" ref="V265">IF($L$2&lt;&gt;1,IRR(IF(ROW($P$36:P265)=ROW(P265),P265+K265+J265,$P$36:P265),V264/12)*12,0)</f>
        <v>0.11054211440802142</v>
      </c>
      <c r="W265" s="83">
        <f>(1+V265/12)^(B265)-1</f>
        <v>7.1649861525050671</v>
      </c>
    </row>
    <row r="266" spans="2:23" x14ac:dyDescent="0.25">
      <c r="B266" s="33">
        <v>230</v>
      </c>
      <c r="C266" s="105">
        <f t="shared" si="31"/>
        <v>3.9789301544717048E-3</v>
      </c>
      <c r="D266" s="106">
        <f t="shared" si="34"/>
        <v>0.40118280453134653</v>
      </c>
      <c r="E266" s="60">
        <f>rate</f>
        <v>3.5145930840192463E-3</v>
      </c>
      <c r="F266" s="31">
        <f>IF(AND(B265&gt;=gracia,12*años+gracia-B265&gt;0,$L$2&lt;&gt;1),PMT(E265,12*años-B265+gracia,-J265),0)</f>
        <v>-21.169659704331611</v>
      </c>
      <c r="G266" s="31">
        <f>IF(AND(12*años+gracia-B265&gt;0,$L$2&lt;&gt;1),J265*E266,0)</f>
        <v>-8.0788044047576193</v>
      </c>
      <c r="H266" s="31">
        <f>IF(AND(12*años+gracia-B265&gt;0,$L$2&lt;&gt;1),F266-G266,0)</f>
        <v>-13.090855299573992</v>
      </c>
      <c r="I266" s="62"/>
      <c r="J266" s="61">
        <f>J265-H266-I266</f>
        <v>-2285.5548802456619</v>
      </c>
      <c r="K266" s="61">
        <f>K265*(1+$J$17)^(1/12)</f>
        <v>14359.090813016552</v>
      </c>
      <c r="L266" s="31">
        <f t="shared" si="35"/>
        <v>16</v>
      </c>
      <c r="M266" s="31">
        <f t="shared" si="36"/>
        <v>-2.6666666666666661</v>
      </c>
      <c r="N266" s="31">
        <f t="shared" si="37"/>
        <v>-2.35</v>
      </c>
      <c r="O266" s="62"/>
      <c r="P266" s="31">
        <f>O266+N266+M266+L266+I266+F266</f>
        <v>-10.186326370998277</v>
      </c>
      <c r="Q266" s="31">
        <f>SUM($P$36:P266)</f>
        <v>-2837.0771071036284</v>
      </c>
      <c r="R266" s="83">
        <f t="shared" si="38"/>
        <v>-0.18609376818063408</v>
      </c>
      <c r="S266" s="31">
        <f>SUMPRODUCT($P$36:P266,$D$36:D266)/D266-Q266</f>
        <v>-2220.4284238458772</v>
      </c>
      <c r="T266" s="31">
        <f t="shared" si="32"/>
        <v>9236.4588256672614</v>
      </c>
      <c r="U266" s="31">
        <f t="shared" si="33"/>
        <v>9857.6988256672612</v>
      </c>
      <c r="V266" s="80" cm="1">
        <f t="array" ref="V266">IF($L$2&lt;&gt;1,IRR(IF(ROW($P$36:P266)=ROW(P266),P266+K266+J266,$P$36:P266),V265/12)*12,0)</f>
        <v>0.1103293231981608</v>
      </c>
      <c r="W266" s="83">
        <f>(1+V266/12)^(B266)-1</f>
        <v>7.206966747719763</v>
      </c>
    </row>
    <row r="267" spans="2:23" x14ac:dyDescent="0.25">
      <c r="B267" s="33">
        <v>231</v>
      </c>
      <c r="C267" s="105">
        <f t="shared" si="31"/>
        <v>3.9789301544717048E-3</v>
      </c>
      <c r="D267" s="106">
        <f t="shared" si="34"/>
        <v>0.3995928524810981</v>
      </c>
      <c r="E267" s="60">
        <f>rate</f>
        <v>3.5145930840192463E-3</v>
      </c>
      <c r="F267" s="31">
        <f>IF(AND(B266&gt;=gracia,12*años+gracia-B266&gt;0,$L$2&lt;&gt;1),PMT(E266,12*años-B266+gracia,-J266),0)</f>
        <v>-21.169659704331611</v>
      </c>
      <c r="G267" s="31">
        <f>IF(AND(12*años+gracia-B266&gt;0,$L$2&lt;&gt;1),J266*E267,0)</f>
        <v>-8.0327953752578409</v>
      </c>
      <c r="H267" s="31">
        <f>IF(AND(12*años+gracia-B266&gt;0,$L$2&lt;&gt;1),F267-G267,0)</f>
        <v>-13.13686432907377</v>
      </c>
      <c r="I267" s="62"/>
      <c r="J267" s="61">
        <f>J266-H267-I267</f>
        <v>-2272.418015916588</v>
      </c>
      <c r="K267" s="61">
        <f>K266*(1+$J$17)^(1/12)</f>
        <v>14428.984413621263</v>
      </c>
      <c r="L267" s="31">
        <f t="shared" si="35"/>
        <v>16</v>
      </c>
      <c r="M267" s="31">
        <f t="shared" si="36"/>
        <v>-2.6666666666666661</v>
      </c>
      <c r="N267" s="31">
        <f t="shared" si="37"/>
        <v>-2.35</v>
      </c>
      <c r="O267" s="62"/>
      <c r="P267" s="31">
        <f>O267+N267+M267+L267+I267+F267</f>
        <v>-10.186326370998277</v>
      </c>
      <c r="Q267" s="31">
        <f>SUM($P$36:P267)</f>
        <v>-2847.2634334746267</v>
      </c>
      <c r="R267" s="83">
        <f t="shared" si="38"/>
        <v>-0.18613994745946952</v>
      </c>
      <c r="S267" s="31">
        <f>SUMPRODUCT($P$36:P267,$D$36:D267)/D267-Q267</f>
        <v>-2240.5518851093798</v>
      </c>
      <c r="T267" s="31">
        <f t="shared" si="32"/>
        <v>9309.302964230048</v>
      </c>
      <c r="U267" s="31">
        <f t="shared" si="33"/>
        <v>9930.5429642300478</v>
      </c>
      <c r="V267" s="80" cm="1">
        <f t="array" ref="V267">IF($L$2&lt;&gt;1,IRR(IF(ROW($P$36:P267)=ROW(P267),P267+K267+J267,$P$36:P267),V266/12)*12,0)</f>
        <v>0.11011800981661057</v>
      </c>
      <c r="W267" s="83">
        <f>(1+V267/12)^(B267)-1</f>
        <v>7.249105249215571</v>
      </c>
    </row>
    <row r="268" spans="2:23" x14ac:dyDescent="0.25">
      <c r="B268" s="33">
        <v>232</v>
      </c>
      <c r="C268" s="105">
        <f t="shared" si="31"/>
        <v>3.9789301544717048E-3</v>
      </c>
      <c r="D268" s="106">
        <f t="shared" si="34"/>
        <v>0.39800920166682874</v>
      </c>
      <c r="E268" s="60">
        <f>rate</f>
        <v>3.5145930840192463E-3</v>
      </c>
      <c r="F268" s="31">
        <f>IF(AND(B267&gt;=gracia,12*años+gracia-B267&gt;0,$L$2&lt;&gt;1),PMT(E267,12*años-B267+gracia,-J267),0)</f>
        <v>-21.169659704331607</v>
      </c>
      <c r="G268" s="31">
        <f>IF(AND(12*años+gracia-B267&gt;0,$L$2&lt;&gt;1),J267*E268,0)</f>
        <v>-7.9866246427411776</v>
      </c>
      <c r="H268" s="31">
        <f>IF(AND(12*años+gracia-B267&gt;0,$L$2&lt;&gt;1),F268-G268,0)</f>
        <v>-13.183035061590431</v>
      </c>
      <c r="I268" s="62"/>
      <c r="J268" s="61">
        <f>J267-H268-I268</f>
        <v>-2259.2349808549975</v>
      </c>
      <c r="K268" s="61">
        <f>K267*(1+$J$17)^(1/12)</f>
        <v>14499.218224861112</v>
      </c>
      <c r="L268" s="31">
        <f t="shared" si="35"/>
        <v>16</v>
      </c>
      <c r="M268" s="31">
        <f t="shared" si="36"/>
        <v>-2.6666666666666661</v>
      </c>
      <c r="N268" s="31">
        <f t="shared" si="37"/>
        <v>-2.35</v>
      </c>
      <c r="O268" s="62"/>
      <c r="P268" s="31">
        <f>O268+N268+M268+L268+I268+F268</f>
        <v>-10.186326370998273</v>
      </c>
      <c r="Q268" s="31">
        <f>SUM($P$36:P268)</f>
        <v>-2857.4497598456251</v>
      </c>
      <c r="R268" s="83">
        <f t="shared" si="38"/>
        <v>-0.18618572864107366</v>
      </c>
      <c r="S268" s="31">
        <f>SUMPRODUCT($P$36:P268,$D$36:D268)/D268-Q268</f>
        <v>-2260.795946900877</v>
      </c>
      <c r="T268" s="31">
        <f t="shared" si="32"/>
        <v>9382.533484160489</v>
      </c>
      <c r="U268" s="31">
        <f t="shared" si="33"/>
        <v>10003.773484160489</v>
      </c>
      <c r="V268" s="80" cm="1">
        <f t="array" ref="V268">IF($L$2&lt;&gt;1,IRR(IF(ROW($P$36:P268)=ROW(P268),P268+K268+J268,$P$36:P268),V267/12)*12,0)</f>
        <v>0.10990815945533328</v>
      </c>
      <c r="W268" s="83">
        <f>(1+V268/12)^(B268)-1</f>
        <v>7.291402562173392</v>
      </c>
    </row>
    <row r="269" spans="2:23" x14ac:dyDescent="0.25">
      <c r="B269" s="33">
        <v>233</v>
      </c>
      <c r="C269" s="105">
        <f t="shared" si="31"/>
        <v>3.9789301544717048E-3</v>
      </c>
      <c r="D269" s="106">
        <f t="shared" si="34"/>
        <v>0.39643182711572567</v>
      </c>
      <c r="E269" s="60">
        <f>rate</f>
        <v>3.5145930840192463E-3</v>
      </c>
      <c r="F269" s="31">
        <f>IF(AND(B268&gt;=gracia,12*años+gracia-B268&gt;0,$L$2&lt;&gt;1),PMT(E268,12*años-B268+gracia,-J268),0)</f>
        <v>-21.169659704331607</v>
      </c>
      <c r="G269" s="31">
        <f>IF(AND(12*años+gracia-B268&gt;0,$L$2&lt;&gt;1),J268*E269,0)</f>
        <v>-7.9402916388873281</v>
      </c>
      <c r="H269" s="31">
        <f>IF(AND(12*años+gracia-B268&gt;0,$L$2&lt;&gt;1),F269-G269,0)</f>
        <v>-13.22936806544428</v>
      </c>
      <c r="I269" s="62"/>
      <c r="J269" s="61">
        <f>J268-H269-I269</f>
        <v>-2246.0056127895532</v>
      </c>
      <c r="K269" s="61">
        <f>K268*(1+$J$17)^(1/12)</f>
        <v>14569.793902728567</v>
      </c>
      <c r="L269" s="31">
        <f t="shared" si="35"/>
        <v>16</v>
      </c>
      <c r="M269" s="31">
        <f t="shared" si="36"/>
        <v>-2.6666666666666661</v>
      </c>
      <c r="N269" s="31">
        <f t="shared" si="37"/>
        <v>-2.35</v>
      </c>
      <c r="O269" s="62"/>
      <c r="P269" s="31">
        <f>O269+N269+M269+L269+I269+F269</f>
        <v>-10.186326370998273</v>
      </c>
      <c r="Q269" s="31">
        <f>SUM($P$36:P269)</f>
        <v>-2867.6360862166234</v>
      </c>
      <c r="R269" s="83">
        <f t="shared" si="38"/>
        <v>-0.18623111685116187</v>
      </c>
      <c r="S269" s="31">
        <f>SUMPRODUCT($P$36:P269,$D$36:D269)/D269-Q269</f>
        <v>-2281.1610890814459</v>
      </c>
      <c r="T269" s="31">
        <f t="shared" si="32"/>
        <v>9456.1522037223895</v>
      </c>
      <c r="U269" s="31">
        <f t="shared" si="33"/>
        <v>10077.392203722389</v>
      </c>
      <c r="V269" s="80" cm="1">
        <f t="array" ref="V269">IF($L$2&lt;&gt;1,IRR(IF(ROW($P$36:P269)=ROW(P269),P269+K269+J269,$P$36:P269),V268/12)*12,0)</f>
        <v>0.10969975750079985</v>
      </c>
      <c r="W269" s="83">
        <f>(1+V269/12)^(B269)-1</f>
        <v>7.3338595940271318</v>
      </c>
    </row>
    <row r="270" spans="2:23" x14ac:dyDescent="0.25">
      <c r="B270" s="33">
        <v>234</v>
      </c>
      <c r="C270" s="105">
        <f t="shared" si="31"/>
        <v>3.9789301544717048E-3</v>
      </c>
      <c r="D270" s="106">
        <f t="shared" si="34"/>
        <v>0.3948607039539474</v>
      </c>
      <c r="E270" s="60">
        <f>rate</f>
        <v>3.5145930840192463E-3</v>
      </c>
      <c r="F270" s="31">
        <f>IF(AND(B269&gt;=gracia,12*años+gracia-B269&gt;0,$L$2&lt;&gt;1),PMT(E269,12*años-B269+gracia,-J269),0)</f>
        <v>-21.169659704331607</v>
      </c>
      <c r="G270" s="31">
        <f>IF(AND(12*años+gracia-B269&gt;0,$L$2&lt;&gt;1),J269*E270,0)</f>
        <v>-7.8937957933785725</v>
      </c>
      <c r="H270" s="31">
        <f>IF(AND(12*años+gracia-B269&gt;0,$L$2&lt;&gt;1),F270-G270,0)</f>
        <v>-13.275863910953035</v>
      </c>
      <c r="I270" s="62"/>
      <c r="J270" s="61">
        <f>J269-H270-I270</f>
        <v>-2232.7297488786003</v>
      </c>
      <c r="K270" s="61">
        <f>K269*(1+$J$17)^(1/12)</f>
        <v>14640.713111276724</v>
      </c>
      <c r="L270" s="31">
        <f t="shared" si="35"/>
        <v>16</v>
      </c>
      <c r="M270" s="31">
        <f t="shared" si="36"/>
        <v>-2.6666666666666661</v>
      </c>
      <c r="N270" s="31">
        <f t="shared" si="37"/>
        <v>-2.35</v>
      </c>
      <c r="O270" s="62"/>
      <c r="P270" s="31">
        <f>O270+N270+M270+L270+I270+F270</f>
        <v>-10.186326370998273</v>
      </c>
      <c r="Q270" s="31">
        <f>SUM($P$36:P270)</f>
        <v>-2877.8224125876218</v>
      </c>
      <c r="R270" s="83">
        <f t="shared" si="38"/>
        <v>-0.18627611712783049</v>
      </c>
      <c r="S270" s="31">
        <f>SUMPRODUCT($P$36:P270,$D$36:D270)/D270-Q270</f>
        <v>-2301.6477934214977</v>
      </c>
      <c r="T270" s="31">
        <f t="shared" si="32"/>
        <v>9530.1609498105026</v>
      </c>
      <c r="U270" s="31">
        <f t="shared" si="33"/>
        <v>10151.400949810502</v>
      </c>
      <c r="V270" s="80" cm="1">
        <f t="array" ref="V270">IF($L$2&lt;&gt;1,IRR(IF(ROW($P$36:P270)=ROW(P270),P270+K270+J270,$P$36:P270),V269/12)*12,0)</f>
        <v>0.10949278953089348</v>
      </c>
      <c r="W270" s="83">
        <f>(1+V270/12)^(B270)-1</f>
        <v>7.3764772545051809</v>
      </c>
    </row>
    <row r="271" spans="2:23" x14ac:dyDescent="0.25">
      <c r="B271" s="33">
        <v>235</v>
      </c>
      <c r="C271" s="105">
        <f t="shared" si="31"/>
        <v>3.9789301544717048E-3</v>
      </c>
      <c r="D271" s="106">
        <f t="shared" si="34"/>
        <v>0.39329580740623143</v>
      </c>
      <c r="E271" s="60">
        <f>rate</f>
        <v>3.5145930840192463E-3</v>
      </c>
      <c r="F271" s="31">
        <f>IF(AND(B270&gt;=gracia,12*años+gracia-B270&gt;0,$L$2&lt;&gt;1),PMT(E270,12*años-B270+gracia,-J270),0)</f>
        <v>-21.169659704331607</v>
      </c>
      <c r="G271" s="31">
        <f>IF(AND(12*años+gracia-B270&gt;0,$L$2&lt;&gt;1),J270*E271,0)</f>
        <v>-7.8471365338927574</v>
      </c>
      <c r="H271" s="31">
        <f>IF(AND(12*años+gracia-B270&gt;0,$L$2&lt;&gt;1),F271-G271,0)</f>
        <v>-13.322523170438849</v>
      </c>
      <c r="I271" s="62"/>
      <c r="J271" s="61">
        <f>J270-H271-I271</f>
        <v>-2219.4072257081616</v>
      </c>
      <c r="K271" s="61">
        <f>K270*(1+$J$17)^(1/12)</f>
        <v>14711.977522658544</v>
      </c>
      <c r="L271" s="31">
        <f t="shared" si="35"/>
        <v>16</v>
      </c>
      <c r="M271" s="31">
        <f t="shared" si="36"/>
        <v>-2.6666666666666661</v>
      </c>
      <c r="N271" s="31">
        <f t="shared" si="37"/>
        <v>-2.35</v>
      </c>
      <c r="O271" s="62"/>
      <c r="P271" s="31">
        <f>O271+N271+M271+L271+I271+F271</f>
        <v>-10.186326370998273</v>
      </c>
      <c r="Q271" s="31">
        <f>SUM($P$36:P271)</f>
        <v>-2888.0087389586201</v>
      </c>
      <c r="R271" s="83">
        <f t="shared" si="38"/>
        <v>-0.18632073442342109</v>
      </c>
      <c r="S271" s="31">
        <f>SUMPRODUCT($P$36:P271,$D$36:D271)/D271-Q271</f>
        <v>-2322.2565436083755</v>
      </c>
      <c r="T271" s="31">
        <f t="shared" si="32"/>
        <v>9604.561557991763</v>
      </c>
      <c r="U271" s="31">
        <f t="shared" si="33"/>
        <v>10225.801557991763</v>
      </c>
      <c r="V271" s="80" cm="1">
        <f t="array" ref="V271">IF($L$2&lt;&gt;1,IRR(IF(ROW($P$36:P271)=ROW(P271),P271+K271+J271,$P$36:P271),V270/12)*12,0)</f>
        <v>0.10928724131183731</v>
      </c>
      <c r="W271" s="83">
        <f>(1+V271/12)^(B271)-1</f>
        <v>7.4192564556654794</v>
      </c>
    </row>
    <row r="272" spans="2:23" x14ac:dyDescent="0.25">
      <c r="B272" s="33">
        <v>236</v>
      </c>
      <c r="C272" s="105">
        <f t="shared" si="31"/>
        <v>3.9789301544717048E-3</v>
      </c>
      <c r="D272" s="106">
        <f t="shared" si="34"/>
        <v>0.39173711279550372</v>
      </c>
      <c r="E272" s="60">
        <f>rate</f>
        <v>3.5145930840192463E-3</v>
      </c>
      <c r="F272" s="31">
        <f>IF(AND(B271&gt;=gracia,12*años+gracia-B271&gt;0,$L$2&lt;&gt;1),PMT(E271,12*años-B271+gracia,-J271),0)</f>
        <v>-21.169659704331611</v>
      </c>
      <c r="G272" s="31">
        <f>IF(AND(12*años+gracia-B271&gt;0,$L$2&lt;&gt;1),J271*E272,0)</f>
        <v>-7.8003132860962472</v>
      </c>
      <c r="H272" s="31">
        <f>IF(AND(12*años+gracia-B271&gt;0,$L$2&lt;&gt;1),F272-G272,0)</f>
        <v>-13.369346418235363</v>
      </c>
      <c r="I272" s="62"/>
      <c r="J272" s="61">
        <f>J271-H272-I272</f>
        <v>-2206.0378792899264</v>
      </c>
      <c r="K272" s="61">
        <f>K271*(1+$J$17)^(1/12)</f>
        <v>14783.588817166275</v>
      </c>
      <c r="L272" s="31">
        <f t="shared" si="35"/>
        <v>16</v>
      </c>
      <c r="M272" s="31">
        <f t="shared" si="36"/>
        <v>-2.6666666666666661</v>
      </c>
      <c r="N272" s="31">
        <f t="shared" si="37"/>
        <v>-2.35</v>
      </c>
      <c r="O272" s="62"/>
      <c r="P272" s="31">
        <f>O272+N272+M272+L272+I272+F272</f>
        <v>-10.186326370998277</v>
      </c>
      <c r="Q272" s="31">
        <f>SUM($P$36:P272)</f>
        <v>-2898.1950653296185</v>
      </c>
      <c r="R272" s="83">
        <f t="shared" si="38"/>
        <v>-0.18636497360633722</v>
      </c>
      <c r="S272" s="31">
        <f>SUMPRODUCT($P$36:P272,$D$36:D272)/D272-Q272</f>
        <v>-2342.9878252539788</v>
      </c>
      <c r="T272" s="31">
        <f t="shared" si="32"/>
        <v>9679.3558725467301</v>
      </c>
      <c r="U272" s="31">
        <f t="shared" si="33"/>
        <v>10300.59587254673</v>
      </c>
      <c r="V272" s="80" cm="1">
        <f t="array" ref="V272">IF($L$2&lt;&gt;1,IRR(IF(ROW($P$36:P272)=ROW(P272),P272+K272+J272,$P$36:P272),V271/12)*12,0)</f>
        <v>0.10908309879518363</v>
      </c>
      <c r="W272" s="83">
        <f>(1+V272/12)^(B272)-1</f>
        <v>7.4621981119316825</v>
      </c>
    </row>
    <row r="273" spans="2:23" x14ac:dyDescent="0.25">
      <c r="B273" s="33">
        <v>237</v>
      </c>
      <c r="C273" s="105">
        <f t="shared" si="31"/>
        <v>3.9789301544717048E-3</v>
      </c>
      <c r="D273" s="106">
        <f t="shared" si="34"/>
        <v>0.39018459554248935</v>
      </c>
      <c r="E273" s="60">
        <f>rate</f>
        <v>3.5145930840192463E-3</v>
      </c>
      <c r="F273" s="31">
        <f>IF(AND(B272&gt;=gracia,12*años+gracia-B272&gt;0,$L$2&lt;&gt;1),PMT(E272,12*años-B272+gracia,-J272),0)</f>
        <v>-21.169659704331611</v>
      </c>
      <c r="G273" s="31">
        <f>IF(AND(12*años+gracia-B272&gt;0,$L$2&lt;&gt;1),J272*E273,0)</f>
        <v>-7.7533254736368606</v>
      </c>
      <c r="H273" s="31">
        <f>IF(AND(12*años+gracia-B272&gt;0,$L$2&lt;&gt;1),F273-G273,0)</f>
        <v>-13.416334230694751</v>
      </c>
      <c r="I273" s="62"/>
      <c r="J273" s="61">
        <f>J272-H273-I273</f>
        <v>-2192.6215450592317</v>
      </c>
      <c r="K273" s="61">
        <f>K272*(1+$J$17)^(1/12)</f>
        <v>14855.548683271072</v>
      </c>
      <c r="L273" s="31">
        <f t="shared" si="35"/>
        <v>16</v>
      </c>
      <c r="M273" s="31">
        <f t="shared" si="36"/>
        <v>-2.6666666666666661</v>
      </c>
      <c r="N273" s="31">
        <f t="shared" si="37"/>
        <v>-2.35</v>
      </c>
      <c r="O273" s="62"/>
      <c r="P273" s="31">
        <f>O273+N273+M273+L273+I273+F273</f>
        <v>-10.186326370998277</v>
      </c>
      <c r="Q273" s="31">
        <f>SUM($P$36:P273)</f>
        <v>-2908.3813917006169</v>
      </c>
      <c r="R273" s="83">
        <f t="shared" si="38"/>
        <v>-0.18640883946281522</v>
      </c>
      <c r="S273" s="31">
        <f>SUMPRODUCT($P$36:P273,$D$36:D273)/D273-Q273</f>
        <v>-2363.842125902423</v>
      </c>
      <c r="T273" s="31">
        <f t="shared" si="32"/>
        <v>9754.5457465112231</v>
      </c>
      <c r="U273" s="31">
        <f t="shared" si="33"/>
        <v>10375.785746511223</v>
      </c>
      <c r="V273" s="80" cm="1">
        <f t="array" ref="V273">IF($L$2&lt;&gt;1,IRR(IF(ROW($P$36:P273)=ROW(P273),P273+K273+J273,$P$36:P273),V272/12)*12,0)</f>
        <v>0.1088803481148588</v>
      </c>
      <c r="W273" s="83">
        <f>(1+V273/12)^(B273)-1</f>
        <v>7.5053031401284223</v>
      </c>
    </row>
    <row r="274" spans="2:23" x14ac:dyDescent="0.25">
      <c r="B274" s="33">
        <v>238</v>
      </c>
      <c r="C274" s="105">
        <f t="shared" si="31"/>
        <v>3.9789301544717048E-3</v>
      </c>
      <c r="D274" s="106">
        <f t="shared" si="34"/>
        <v>0.38863823116532509</v>
      </c>
      <c r="E274" s="60">
        <f>rate</f>
        <v>3.5145930840192463E-3</v>
      </c>
      <c r="F274" s="31">
        <f>IF(AND(B273&gt;=gracia,12*años+gracia-B273&gt;0,$L$2&lt;&gt;1),PMT(E273,12*años-B273+gracia,-J273),0)</f>
        <v>-21.169659704331615</v>
      </c>
      <c r="G274" s="31">
        <f>IF(AND(12*años+gracia-B273&gt;0,$L$2&lt;&gt;1),J273*E274,0)</f>
        <v>-7.7061725181367704</v>
      </c>
      <c r="H274" s="31">
        <f>IF(AND(12*años+gracia-B273&gt;0,$L$2&lt;&gt;1),F274-G274,0)</f>
        <v>-13.463487186194843</v>
      </c>
      <c r="I274" s="62"/>
      <c r="J274" s="61">
        <f>J273-H274-I274</f>
        <v>-2179.1580578730368</v>
      </c>
      <c r="K274" s="61">
        <f>K273*(1+$J$17)^(1/12)</f>
        <v>14927.858817662809</v>
      </c>
      <c r="L274" s="31">
        <f t="shared" si="35"/>
        <v>16</v>
      </c>
      <c r="M274" s="31">
        <f t="shared" si="36"/>
        <v>-2.6666666666666661</v>
      </c>
      <c r="N274" s="31">
        <f t="shared" si="37"/>
        <v>-2.35</v>
      </c>
      <c r="O274" s="62"/>
      <c r="P274" s="31">
        <f>O274+N274+M274+L274+I274+F274</f>
        <v>-10.18632637099828</v>
      </c>
      <c r="Q274" s="31">
        <f>SUM($P$36:P274)</f>
        <v>-2918.5677180716152</v>
      </c>
      <c r="R274" s="83">
        <f t="shared" si="38"/>
        <v>-0.18645233669865052</v>
      </c>
      <c r="S274" s="31">
        <f>SUMPRODUCT($P$36:P274,$D$36:D274)/D274-Q274</f>
        <v>-2384.8199350377295</v>
      </c>
      <c r="T274" s="31">
        <f t="shared" si="32"/>
        <v>9830.1330417181562</v>
      </c>
      <c r="U274" s="31">
        <f t="shared" si="33"/>
        <v>10451.373041718156</v>
      </c>
      <c r="V274" s="80" cm="1">
        <f t="array" ref="V274">IF($L$2&lt;&gt;1,IRR(IF(ROW($P$36:P274)=ROW(P274),P274+K274+J274,$P$36:P274),V273/12)*12,0)</f>
        <v>0.10867897558427497</v>
      </c>
      <c r="W274" s="83">
        <f>(1+V274/12)^(B274)-1</f>
        <v>7.548572459519443</v>
      </c>
    </row>
    <row r="275" spans="2:23" x14ac:dyDescent="0.25">
      <c r="B275" s="33">
        <v>239</v>
      </c>
      <c r="C275" s="105">
        <f t="shared" si="31"/>
        <v>3.9789301544717048E-3</v>
      </c>
      <c r="D275" s="106">
        <f t="shared" si="34"/>
        <v>0.38709799527917321</v>
      </c>
      <c r="E275" s="60">
        <f>rate</f>
        <v>3.5145930840192463E-3</v>
      </c>
      <c r="F275" s="31">
        <f>IF(AND(B274&gt;=gracia,12*años+gracia-B274&gt;0,$L$2&lt;&gt;1),PMT(E274,12*años-B274+gracia,-J274),0)</f>
        <v>-21.169659704331607</v>
      </c>
      <c r="G275" s="31">
        <f>IF(AND(12*años+gracia-B274&gt;0,$L$2&lt;&gt;1),J274*E275,0)</f>
        <v>-7.6588538391853875</v>
      </c>
      <c r="H275" s="31">
        <f>IF(AND(12*años+gracia-B274&gt;0,$L$2&lt;&gt;1),F275-G275,0)</f>
        <v>-13.510805865146221</v>
      </c>
      <c r="I275" s="62"/>
      <c r="J275" s="61">
        <f>J274-H275-I275</f>
        <v>-2165.6472520078905</v>
      </c>
      <c r="K275" s="61">
        <f>K274*(1+$J$17)^(1/12)</f>
        <v>15000.520925290084</v>
      </c>
      <c r="L275" s="31">
        <f t="shared" si="35"/>
        <v>16</v>
      </c>
      <c r="M275" s="31">
        <f t="shared" si="36"/>
        <v>-2.6666666666666661</v>
      </c>
      <c r="N275" s="31">
        <f t="shared" si="37"/>
        <v>-2.35</v>
      </c>
      <c r="O275" s="62"/>
      <c r="P275" s="31">
        <f>O275+N275+M275+L275+I275+F275</f>
        <v>-10.186326370998273</v>
      </c>
      <c r="Q275" s="31">
        <f>SUM($P$36:P275)</f>
        <v>-2928.7540444426136</v>
      </c>
      <c r="R275" s="83">
        <f t="shared" si="38"/>
        <v>-0.18649546994088056</v>
      </c>
      <c r="S275" s="31">
        <f>SUMPRODUCT($P$36:P275,$D$36:D275)/D275-Q275</f>
        <v>-2405.9217440915386</v>
      </c>
      <c r="T275" s="31">
        <f t="shared" si="32"/>
        <v>9906.1196288395804</v>
      </c>
      <c r="U275" s="31">
        <f t="shared" si="33"/>
        <v>10527.35962883958</v>
      </c>
      <c r="V275" s="80" cm="1">
        <f t="array" ref="V275">IF($L$2&lt;&gt;1,IRR(IF(ROW($P$36:P275)=ROW(P275),P275+K275+J275,$P$36:P275),V274/12)*12,0)</f>
        <v>0.10847896769347365</v>
      </c>
      <c r="W275" s="83">
        <f>(1+V275/12)^(B275)-1</f>
        <v>7.5920069918391953</v>
      </c>
    </row>
    <row r="276" spans="2:23" x14ac:dyDescent="0.25">
      <c r="B276" s="33">
        <v>240</v>
      </c>
      <c r="C276" s="105">
        <f t="shared" si="31"/>
        <v>3.9789301544717048E-3</v>
      </c>
      <c r="D276" s="106">
        <f t="shared" si="34"/>
        <v>0.38556386359583711</v>
      </c>
      <c r="E276" s="60">
        <f>rate</f>
        <v>3.5145930840192463E-3</v>
      </c>
      <c r="F276" s="31">
        <f>IF(AND(B275&gt;=gracia,12*años+gracia-B275&gt;0,$L$2&lt;&gt;1),PMT(E275,12*años-B275+gracia,-J275),0)</f>
        <v>-21.169659704331611</v>
      </c>
      <c r="G276" s="31">
        <f>IF(AND(12*años+gracia-B275&gt;0,$L$2&lt;&gt;1),J275*E276,0)</f>
        <v>-7.611368854332218</v>
      </c>
      <c r="H276" s="31">
        <f>IF(AND(12*años+gracia-B275&gt;0,$L$2&lt;&gt;1),F276-G276,0)</f>
        <v>-13.558290849999393</v>
      </c>
      <c r="I276" s="62"/>
      <c r="J276" s="61">
        <f>J275-H276-I276</f>
        <v>-2152.0889611578909</v>
      </c>
      <c r="K276" s="61">
        <f>K275*(1+$J$17)^(1/12)</f>
        <v>15073.536719400419</v>
      </c>
      <c r="L276" s="31">
        <f t="shared" si="35"/>
        <v>16</v>
      </c>
      <c r="M276" s="31">
        <f t="shared" si="36"/>
        <v>-2.6666666666666661</v>
      </c>
      <c r="N276" s="31">
        <f t="shared" si="37"/>
        <v>-2.35</v>
      </c>
      <c r="O276" s="62"/>
      <c r="P276" s="31">
        <f>O276+N276+M276+L276+I276+F276</f>
        <v>-10.186326370998277</v>
      </c>
      <c r="Q276" s="31">
        <f>SUM($P$36:P276)</f>
        <v>-2938.9403708136119</v>
      </c>
      <c r="R276" s="83">
        <f t="shared" si="38"/>
        <v>-0.18653824373942529</v>
      </c>
      <c r="S276" s="31">
        <f>SUMPRODUCT($P$36:P276,$D$36:D276)/D276-Q276</f>
        <v>-2427.1480464508672</v>
      </c>
      <c r="T276" s="31">
        <f t="shared" si="32"/>
        <v>9982.5073874289155</v>
      </c>
      <c r="U276" s="31">
        <f t="shared" si="33"/>
        <v>10603.747387428915</v>
      </c>
      <c r="V276" s="80" cm="1">
        <f t="array" ref="V276">IF($L$2&lt;&gt;1,IRR(IF(ROW($P$36:P276)=ROW(P276),P276+K276+J276,$P$36:P276),V275/12)*12,0)</f>
        <v>0.10828031110634395</v>
      </c>
      <c r="W276" s="83">
        <f>(1+V276/12)^(B276)-1</f>
        <v>7.6356076613318997</v>
      </c>
    </row>
    <row r="277" spans="2:23" x14ac:dyDescent="0.25">
      <c r="B277" s="33">
        <v>241</v>
      </c>
      <c r="C277" s="105">
        <f t="shared" si="31"/>
        <v>3.9789301544717048E-3</v>
      </c>
      <c r="D277" s="106">
        <f t="shared" si="34"/>
        <v>0.38403581192337816</v>
      </c>
      <c r="E277" s="60">
        <f>rate</f>
        <v>3.5145930840192463E-3</v>
      </c>
      <c r="F277" s="31">
        <f>IF(AND(B276&gt;=gracia,12*años+gracia-B276&gt;0,$L$2&lt;&gt;1),PMT(E276,12*años-B276+gracia,-J276),0)</f>
        <v>-21.169659704331611</v>
      </c>
      <c r="G277" s="31">
        <f>IF(AND(12*años+gracia-B276&gt;0,$L$2&lt;&gt;1),J276*E277,0)</f>
        <v>-7.5637169790796879</v>
      </c>
      <c r="H277" s="31">
        <f>IF(AND(12*años+gracia-B276&gt;0,$L$2&lt;&gt;1),F277-G277,0)</f>
        <v>-13.605942725251923</v>
      </c>
      <c r="I277" s="62"/>
      <c r="J277" s="61">
        <f>J276-H277-I277</f>
        <v>-2138.4830184326388</v>
      </c>
      <c r="K277" s="61">
        <f>K276*(1+$J$17)^(1/12)</f>
        <v>15146.907921580656</v>
      </c>
      <c r="L277" s="31">
        <f t="shared" si="35"/>
        <v>16</v>
      </c>
      <c r="M277" s="31">
        <f t="shared" si="36"/>
        <v>-2.6666666666666661</v>
      </c>
      <c r="N277" s="31">
        <f t="shared" si="37"/>
        <v>-2.35</v>
      </c>
      <c r="O277" s="62"/>
      <c r="P277" s="31">
        <f>O277+N277+M277+L277+I277+F277</f>
        <v>-10.186326370998277</v>
      </c>
      <c r="Q277" s="31">
        <f>SUM($P$36:P277)</f>
        <v>-2949.1266971846103</v>
      </c>
      <c r="R277" s="83">
        <f t="shared" si="38"/>
        <v>-0.18658066256868755</v>
      </c>
      <c r="S277" s="31">
        <f>SUMPRODUCT($P$36:P277,$D$36:D277)/D277-Q277</f>
        <v>-2448.499337465882</v>
      </c>
      <c r="T277" s="31">
        <f t="shared" si="32"/>
        <v>10059.298205963407</v>
      </c>
      <c r="U277" s="31">
        <f t="shared" si="33"/>
        <v>10680.538205963407</v>
      </c>
      <c r="V277" s="80" cm="1">
        <f t="array" ref="V277">IF($L$2&lt;&gt;1,IRR(IF(ROW($P$36:P277)=ROW(P277),P277+K277+J277,$P$36:P277),V276/12)*12,0)</f>
        <v>0.10808299265787547</v>
      </c>
      <c r="W277" s="83">
        <f>(1+V277/12)^(B277)-1</f>
        <v>7.679375394784552</v>
      </c>
    </row>
    <row r="278" spans="2:23" x14ac:dyDescent="0.25">
      <c r="B278" s="33">
        <v>242</v>
      </c>
      <c r="C278" s="105">
        <f t="shared" si="31"/>
        <v>3.9789301544717048E-3</v>
      </c>
      <c r="D278" s="106">
        <f t="shared" si="34"/>
        <v>0.38251381616573427</v>
      </c>
      <c r="E278" s="60">
        <f>rate</f>
        <v>3.5145930840192463E-3</v>
      </c>
      <c r="F278" s="31">
        <f>IF(AND(B277&gt;=gracia,12*años+gracia-B277&gt;0,$L$2&lt;&gt;1),PMT(E277,12*años-B277+gracia,-J277),0)</f>
        <v>-21.169659704331607</v>
      </c>
      <c r="G278" s="31">
        <f>IF(AND(12*años+gracia-B277&gt;0,$L$2&lt;&gt;1),J277*E278,0)</f>
        <v>-7.5158976268759545</v>
      </c>
      <c r="H278" s="31">
        <f>IF(AND(12*años+gracia-B277&gt;0,$L$2&lt;&gt;1),F278-G278,0)</f>
        <v>-13.653762077455653</v>
      </c>
      <c r="I278" s="62"/>
      <c r="J278" s="61">
        <f>J277-H278-I278</f>
        <v>-2124.8292563551831</v>
      </c>
      <c r="K278" s="61">
        <f>K277*(1+$J$17)^(1/12)</f>
        <v>15220.636261797545</v>
      </c>
      <c r="L278" s="31">
        <f t="shared" si="35"/>
        <v>16</v>
      </c>
      <c r="M278" s="31">
        <f t="shared" si="36"/>
        <v>-2.6666666666666661</v>
      </c>
      <c r="N278" s="31">
        <f t="shared" si="37"/>
        <v>-2.35</v>
      </c>
      <c r="O278" s="62"/>
      <c r="P278" s="31">
        <f>O278+N278+M278+L278+I278+F278</f>
        <v>-10.186326370998273</v>
      </c>
      <c r="Q278" s="31">
        <f>SUM($P$36:P278)</f>
        <v>-2959.3130235556087</v>
      </c>
      <c r="R278" s="83">
        <f t="shared" si="38"/>
        <v>-0.1866227308291129</v>
      </c>
      <c r="S278" s="31">
        <f>SUMPRODUCT($P$36:P278,$D$36:D278)/D278-Q278</f>
        <v>-2469.9761144577137</v>
      </c>
      <c r="T278" s="31">
        <f t="shared" si="32"/>
        <v>10136.493981886753</v>
      </c>
      <c r="U278" s="31">
        <f t="shared" si="33"/>
        <v>10757.733981886753</v>
      </c>
      <c r="V278" s="80" cm="1">
        <f t="array" ref="V278">IF($L$2&lt;&gt;1,IRR(IF(ROW($P$36:P278)=ROW(P278),P278+K278+J278,$P$36:P278),V277/12)*12,0)</f>
        <v>0.10788699935147239</v>
      </c>
      <c r="W278" s="83">
        <f>(1+V278/12)^(B278)-1</f>
        <v>7.7233111215631443</v>
      </c>
    </row>
    <row r="279" spans="2:23" x14ac:dyDescent="0.25">
      <c r="B279" s="33">
        <v>243</v>
      </c>
      <c r="C279" s="105">
        <f t="shared" si="31"/>
        <v>3.9789301544717048E-3</v>
      </c>
      <c r="D279" s="106">
        <f t="shared" si="34"/>
        <v>0.38099785232233996</v>
      </c>
      <c r="E279" s="60">
        <f>rate</f>
        <v>3.5145930840192463E-3</v>
      </c>
      <c r="F279" s="31">
        <f>IF(AND(B278&gt;=gracia,12*años+gracia-B278&gt;0,$L$2&lt;&gt;1),PMT(E278,12*años-B278+gracia,-J278),0)</f>
        <v>-21.169659704331607</v>
      </c>
      <c r="G279" s="31">
        <f>IF(AND(12*años+gracia-B278&gt;0,$L$2&lt;&gt;1),J278*E279,0)</f>
        <v>-7.4679102091076848</v>
      </c>
      <c r="H279" s="31">
        <f>IF(AND(12*años+gracia-B278&gt;0,$L$2&lt;&gt;1),F279-G279,0)</f>
        <v>-13.701749495223922</v>
      </c>
      <c r="I279" s="62"/>
      <c r="J279" s="61">
        <f>J278-H279-I279</f>
        <v>-2111.1275068599593</v>
      </c>
      <c r="K279" s="61">
        <f>K278*(1+$J$17)^(1/12)</f>
        <v>15294.723478438538</v>
      </c>
      <c r="L279" s="31">
        <f t="shared" si="35"/>
        <v>16</v>
      </c>
      <c r="M279" s="31">
        <f t="shared" si="36"/>
        <v>-2.6666666666666661</v>
      </c>
      <c r="N279" s="31">
        <f t="shared" si="37"/>
        <v>-2.35</v>
      </c>
      <c r="O279" s="62"/>
      <c r="P279" s="31">
        <f>O279+N279+M279+L279+I279+F279</f>
        <v>-10.186326370998273</v>
      </c>
      <c r="Q279" s="31">
        <f>SUM($P$36:P279)</f>
        <v>-2969.499349926607</v>
      </c>
      <c r="R279" s="83">
        <f t="shared" si="38"/>
        <v>-0.18666445284871172</v>
      </c>
      <c r="S279" s="31">
        <f>SUMPRODUCT($P$36:P279,$D$36:D279)/D279-Q279</f>
        <v>-2491.5788767263007</v>
      </c>
      <c r="T279" s="31">
        <f t="shared" si="32"/>
        <v>10214.096621651972</v>
      </c>
      <c r="U279" s="31">
        <f t="shared" si="33"/>
        <v>10835.336621651972</v>
      </c>
      <c r="V279" s="80" cm="1">
        <f t="array" ref="V279">IF($L$2&lt;&gt;1,IRR(IF(ROW($P$36:P279)=ROW(P279),P279+K279+J279,$P$36:P279),V278/12)*12,0)</f>
        <v>0.10769231835630499</v>
      </c>
      <c r="W279" s="83">
        <f>(1+V279/12)^(B279)-1</f>
        <v>7.7674157736455864</v>
      </c>
    </row>
    <row r="280" spans="2:23" x14ac:dyDescent="0.25">
      <c r="B280" s="33">
        <v>244</v>
      </c>
      <c r="C280" s="105">
        <f t="shared" si="31"/>
        <v>3.9789301544717048E-3</v>
      </c>
      <c r="D280" s="106">
        <f t="shared" si="34"/>
        <v>0.37948789648774783</v>
      </c>
      <c r="E280" s="60">
        <f>rate</f>
        <v>3.5145930840192463E-3</v>
      </c>
      <c r="F280" s="31">
        <f>IF(AND(B279&gt;=gracia,12*años+gracia-B279&gt;0,$L$2&lt;&gt;1),PMT(E279,12*años-B279+gracia,-J279),0)</f>
        <v>-21.169659704331611</v>
      </c>
      <c r="G280" s="31">
        <f>IF(AND(12*años+gracia-B279&gt;0,$L$2&lt;&gt;1),J279*E280,0)</f>
        <v>-7.4197541350928073</v>
      </c>
      <c r="H280" s="31">
        <f>IF(AND(12*años+gracia-B279&gt;0,$L$2&lt;&gt;1),F280-G280,0)</f>
        <v>-13.749905569238804</v>
      </c>
      <c r="I280" s="62"/>
      <c r="J280" s="61">
        <f>J279-H280-I280</f>
        <v>-2097.3776012907206</v>
      </c>
      <c r="K280" s="61">
        <f>K279*(1+$J$17)^(1/12)</f>
        <v>15369.171318352777</v>
      </c>
      <c r="L280" s="31">
        <f t="shared" si="35"/>
        <v>16</v>
      </c>
      <c r="M280" s="31">
        <f t="shared" si="36"/>
        <v>-2.6666666666666661</v>
      </c>
      <c r="N280" s="31">
        <f t="shared" si="37"/>
        <v>-2.35</v>
      </c>
      <c r="O280" s="62"/>
      <c r="P280" s="31">
        <f>O280+N280+M280+L280+I280+F280</f>
        <v>-10.186326370998277</v>
      </c>
      <c r="Q280" s="31">
        <f>SUM($P$36:P280)</f>
        <v>-2979.6856762976054</v>
      </c>
      <c r="R280" s="83">
        <f t="shared" si="38"/>
        <v>-0.18670583288454334</v>
      </c>
      <c r="S280" s="31">
        <f>SUMPRODUCT($P$36:P280,$D$36:D280)/D280-Q280</f>
        <v>-2513.3081255582579</v>
      </c>
      <c r="T280" s="31">
        <f t="shared" si="32"/>
        <v>10292.108040764451</v>
      </c>
      <c r="U280" s="31">
        <f t="shared" si="33"/>
        <v>10913.348040764451</v>
      </c>
      <c r="V280" s="80" cm="1">
        <f t="array" ref="V280">IF($L$2&lt;&gt;1,IRR(IF(ROW($P$36:P280)=ROW(P280),P280+K280+J280,$P$36:P280),V279/12)*12,0)</f>
        <v>0.10749893700471969</v>
      </c>
      <c r="W280" s="83">
        <f>(1+V280/12)^(B280)-1</f>
        <v>7.8116902856570167</v>
      </c>
    </row>
    <row r="281" spans="2:23" x14ac:dyDescent="0.25">
      <c r="B281" s="33">
        <v>245</v>
      </c>
      <c r="C281" s="105">
        <f t="shared" si="31"/>
        <v>3.9789301544717048E-3</v>
      </c>
      <c r="D281" s="106">
        <f t="shared" si="34"/>
        <v>0.3779839248512516</v>
      </c>
      <c r="E281" s="60">
        <f>rate</f>
        <v>3.5145930840192463E-3</v>
      </c>
      <c r="F281" s="31">
        <f>IF(AND(B280&gt;=gracia,12*años+gracia-B280&gt;0,$L$2&lt;&gt;1),PMT(E280,12*años-B280+gracia,-J280),0)</f>
        <v>-21.169659704331607</v>
      </c>
      <c r="G281" s="31">
        <f>IF(AND(12*años+gracia-B280&gt;0,$L$2&lt;&gt;1),J280*E281,0)</f>
        <v>-7.3714288120732432</v>
      </c>
      <c r="H281" s="31">
        <f>IF(AND(12*años+gracia-B280&gt;0,$L$2&lt;&gt;1),F281-G281,0)</f>
        <v>-13.798230892258363</v>
      </c>
      <c r="I281" s="62"/>
      <c r="J281" s="61">
        <f>J280-H281-I281</f>
        <v>-2083.5793703984623</v>
      </c>
      <c r="K281" s="61">
        <f>K280*(1+$J$17)^(1/12)</f>
        <v>15443.981536892279</v>
      </c>
      <c r="L281" s="31">
        <f t="shared" si="35"/>
        <v>16</v>
      </c>
      <c r="M281" s="31">
        <f t="shared" si="36"/>
        <v>-2.6666666666666661</v>
      </c>
      <c r="N281" s="31">
        <f t="shared" si="37"/>
        <v>-2.35</v>
      </c>
      <c r="O281" s="62"/>
      <c r="P281" s="31">
        <f>O281+N281+M281+L281+I281+F281</f>
        <v>-10.186326370998273</v>
      </c>
      <c r="Q281" s="31">
        <f>SUM($P$36:P281)</f>
        <v>-2989.8720026686037</v>
      </c>
      <c r="R281" s="83">
        <f t="shared" si="38"/>
        <v>-0.18674687512416405</v>
      </c>
      <c r="S281" s="31">
        <f>SUMPRODUCT($P$36:P281,$D$36:D281)/D281-Q281</f>
        <v>-2535.1643642347885</v>
      </c>
      <c r="T281" s="31">
        <f t="shared" si="32"/>
        <v>10370.530163825213</v>
      </c>
      <c r="U281" s="31">
        <f t="shared" si="33"/>
        <v>10991.770163825213</v>
      </c>
      <c r="V281" s="80" cm="1">
        <f t="array" ref="V281">IF($L$2&lt;&gt;1,IRR(IF(ROW($P$36:P281)=ROW(P281),P281+K281+J281,$P$36:P281),V280/12)*12,0)</f>
        <v>0.10730684278970237</v>
      </c>
      <c r="W281" s="83">
        <f>(1+V281/12)^(B281)-1</f>
        <v>7.8561355949051439</v>
      </c>
    </row>
    <row r="282" spans="2:23" x14ac:dyDescent="0.25">
      <c r="B282" s="33">
        <v>246</v>
      </c>
      <c r="C282" s="105">
        <f t="shared" si="31"/>
        <v>3.9789301544717048E-3</v>
      </c>
      <c r="D282" s="106">
        <f t="shared" si="34"/>
        <v>0.37648591369651074</v>
      </c>
      <c r="E282" s="60">
        <f>rate</f>
        <v>3.5145930840192463E-3</v>
      </c>
      <c r="F282" s="31">
        <f>IF(AND(B281&gt;=gracia,12*años+gracia-B281&gt;0,$L$2&lt;&gt;1),PMT(E281,12*años-B281+gracia,-J281),0)</f>
        <v>-21.169659704331611</v>
      </c>
      <c r="G282" s="31">
        <f>IF(AND(12*años+gracia-B281&gt;0,$L$2&lt;&gt;1),J281*E282,0)</f>
        <v>-7.3229336452076108</v>
      </c>
      <c r="H282" s="31">
        <f>IF(AND(12*años+gracia-B281&gt;0,$L$2&lt;&gt;1),F282-G282,0)</f>
        <v>-13.846726059124</v>
      </c>
      <c r="I282" s="62"/>
      <c r="J282" s="61">
        <f>J281-H282-I282</f>
        <v>-2069.7326443393381</v>
      </c>
      <c r="K282" s="61">
        <f>K281*(1+$J$17)^(1/12)</f>
        <v>15519.155897953327</v>
      </c>
      <c r="L282" s="31">
        <f t="shared" si="35"/>
        <v>16</v>
      </c>
      <c r="M282" s="31">
        <f t="shared" si="36"/>
        <v>-2.6666666666666661</v>
      </c>
      <c r="N282" s="31">
        <f t="shared" si="37"/>
        <v>-2.35</v>
      </c>
      <c r="O282" s="62"/>
      <c r="P282" s="31">
        <f>O282+N282+M282+L282+I282+F282</f>
        <v>-10.186326370998277</v>
      </c>
      <c r="Q282" s="31">
        <f>SUM($P$36:P282)</f>
        <v>-3000.0583290396021</v>
      </c>
      <c r="R282" s="83">
        <f t="shared" si="38"/>
        <v>-0.1867875836870399</v>
      </c>
      <c r="S282" s="31">
        <f>SUMPRODUCT($P$36:P282,$D$36:D282)/D282-Q282</f>
        <v>-2557.1480980396132</v>
      </c>
      <c r="T282" s="31">
        <f t="shared" si="32"/>
        <v>10449.364924574387</v>
      </c>
      <c r="U282" s="31">
        <f t="shared" si="33"/>
        <v>11070.604924574387</v>
      </c>
      <c r="V282" s="80" cm="1">
        <f t="array" ref="V282">IF($L$2&lt;&gt;1,IRR(IF(ROW($P$36:P282)=ROW(P282),P282+K282+J282,$P$36:P282),V281/12)*12,0)</f>
        <v>0.10711602336236048</v>
      </c>
      <c r="W282" s="83">
        <f>(1+V282/12)^(B282)-1</f>
        <v>7.9007526414121578</v>
      </c>
    </row>
    <row r="283" spans="2:23" x14ac:dyDescent="0.25">
      <c r="B283" s="33">
        <v>247</v>
      </c>
      <c r="C283" s="105">
        <f t="shared" si="31"/>
        <v>3.9789301544717048E-3</v>
      </c>
      <c r="D283" s="106">
        <f t="shared" si="34"/>
        <v>0.37499383940117631</v>
      </c>
      <c r="E283" s="60">
        <f>rate</f>
        <v>3.5145930840192463E-3</v>
      </c>
      <c r="F283" s="31">
        <f>IF(AND(B282&gt;=gracia,12*años+gracia-B282&gt;0,$L$2&lt;&gt;1),PMT(E282,12*años-B282+gracia,-J282),0)</f>
        <v>-21.169659704331607</v>
      </c>
      <c r="G283" s="31">
        <f>IF(AND(12*años+gracia-B282&gt;0,$L$2&lt;&gt;1),J282*E283,0)</f>
        <v>-7.2742680375639042</v>
      </c>
      <c r="H283" s="31">
        <f>IF(AND(12*años+gracia-B282&gt;0,$L$2&lt;&gt;1),F283-G283,0)</f>
        <v>-13.895391666767704</v>
      </c>
      <c r="I283" s="62"/>
      <c r="J283" s="61">
        <f>J282-H283-I283</f>
        <v>-2055.8372526725702</v>
      </c>
      <c r="K283" s="61">
        <f>K282*(1+$J$17)^(1/12)</f>
        <v>15594.696174018058</v>
      </c>
      <c r="L283" s="31">
        <f t="shared" si="35"/>
        <v>16</v>
      </c>
      <c r="M283" s="31">
        <f t="shared" si="36"/>
        <v>-2.6666666666666661</v>
      </c>
      <c r="N283" s="31">
        <f t="shared" si="37"/>
        <v>-2.35</v>
      </c>
      <c r="O283" s="62"/>
      <c r="P283" s="31">
        <f>O283+N283+M283+L283+I283+F283</f>
        <v>-10.186326370998273</v>
      </c>
      <c r="Q283" s="31">
        <f>SUM($P$36:P283)</f>
        <v>-3010.2446554106004</v>
      </c>
      <c r="R283" s="83">
        <f t="shared" si="38"/>
        <v>-0.18682796262592485</v>
      </c>
      <c r="S283" s="31">
        <f>SUMPRODUCT($P$36:P283,$D$36:D283)/D283-Q283</f>
        <v>-2579.2598342669421</v>
      </c>
      <c r="T283" s="31">
        <f t="shared" si="32"/>
        <v>10528.614265934888</v>
      </c>
      <c r="U283" s="31">
        <f t="shared" si="33"/>
        <v>11149.854265934888</v>
      </c>
      <c r="V283" s="80" cm="1">
        <f t="array" ref="V283">IF($L$2&lt;&gt;1,IRR(IF(ROW($P$36:P283)=ROW(P283),P283+K283+J283,$P$36:P283),V282/12)*12,0)</f>
        <v>0.10692646652948223</v>
      </c>
      <c r="W283" s="83">
        <f>(1+V283/12)^(B283)-1</f>
        <v>7.945542367950269</v>
      </c>
    </row>
    <row r="284" spans="2:23" x14ac:dyDescent="0.25">
      <c r="B284" s="33">
        <v>248</v>
      </c>
      <c r="C284" s="105">
        <f t="shared" si="31"/>
        <v>3.9789301544717048E-3</v>
      </c>
      <c r="D284" s="106">
        <f t="shared" si="34"/>
        <v>0.3735076784365185</v>
      </c>
      <c r="E284" s="60">
        <f>rate</f>
        <v>3.5145930840192463E-3</v>
      </c>
      <c r="F284" s="31">
        <f>IF(AND(B283&gt;=gracia,12*años+gracia-B283&gt;0,$L$2&lt;&gt;1),PMT(E283,12*años-B283+gracia,-J283),0)</f>
        <v>-21.169659704331607</v>
      </c>
      <c r="G284" s="31">
        <f>IF(AND(12*años+gracia-B283&gt;0,$L$2&lt;&gt;1),J283*E284,0)</f>
        <v>-7.225431390112143</v>
      </c>
      <c r="H284" s="31">
        <f>IF(AND(12*años+gracia-B283&gt;0,$L$2&lt;&gt;1),F284-G284,0)</f>
        <v>-13.944228314219465</v>
      </c>
      <c r="I284" s="62"/>
      <c r="J284" s="61">
        <f>J283-H284-I284</f>
        <v>-2041.8930243583507</v>
      </c>
      <c r="K284" s="61">
        <f>K283*(1+$J$17)^(1/12)</f>
        <v>15670.604146196252</v>
      </c>
      <c r="L284" s="31">
        <f t="shared" si="35"/>
        <v>16</v>
      </c>
      <c r="M284" s="31">
        <f t="shared" si="36"/>
        <v>-2.6666666666666661</v>
      </c>
      <c r="N284" s="31">
        <f t="shared" si="37"/>
        <v>-2.35</v>
      </c>
      <c r="O284" s="62"/>
      <c r="P284" s="31">
        <f>O284+N284+M284+L284+I284+F284</f>
        <v>-10.186326370998273</v>
      </c>
      <c r="Q284" s="31">
        <f>SUM($P$36:P284)</f>
        <v>-3020.4309817815988</v>
      </c>
      <c r="R284" s="83">
        <f t="shared" si="38"/>
        <v>-0.18686801592820593</v>
      </c>
      <c r="S284" s="31">
        <f>SUMPRODUCT($P$36:P284,$D$36:D284)/D284-Q284</f>
        <v>-2601.5000822294746</v>
      </c>
      <c r="T284" s="31">
        <f t="shared" si="32"/>
        <v>10608.280140056304</v>
      </c>
      <c r="U284" s="31">
        <f t="shared" si="33"/>
        <v>11229.520140056304</v>
      </c>
      <c r="V284" s="80" cm="1">
        <f t="array" ref="V284">IF($L$2&lt;&gt;1,IRR(IF(ROW($P$36:P284)=ROW(P284),P284+K284+J284,$P$36:P284),V283/12)*12,0)</f>
        <v>0.10673816025112526</v>
      </c>
      <c r="W284" s="83">
        <f>(1+V284/12)^(B284)-1</f>
        <v>7.9905057200757028</v>
      </c>
    </row>
    <row r="285" spans="2:23" x14ac:dyDescent="0.25">
      <c r="B285" s="33">
        <v>249</v>
      </c>
      <c r="C285" s="105">
        <f t="shared" si="31"/>
        <v>3.9789301544717048E-3</v>
      </c>
      <c r="D285" s="106">
        <f t="shared" si="34"/>
        <v>0.37202740736705581</v>
      </c>
      <c r="E285" s="60">
        <f>rate</f>
        <v>3.5145930840192463E-3</v>
      </c>
      <c r="F285" s="31">
        <f>IF(AND(B284&gt;=gracia,12*años+gracia-B284&gt;0,$L$2&lt;&gt;1),PMT(E284,12*años-B284+gracia,-J284),0)</f>
        <v>-21.169659704331604</v>
      </c>
      <c r="G285" s="31">
        <f>IF(AND(12*años+gracia-B284&gt;0,$L$2&lt;&gt;1),J284*E285,0)</f>
        <v>-7.1764231017170017</v>
      </c>
      <c r="H285" s="31">
        <f>IF(AND(12*años+gracia-B284&gt;0,$L$2&lt;&gt;1),F285-G285,0)</f>
        <v>-13.993236602614601</v>
      </c>
      <c r="I285" s="62"/>
      <c r="J285" s="61">
        <f>J284-H285-I285</f>
        <v>-2027.899787755736</v>
      </c>
      <c r="K285" s="61">
        <f>K284*(1+$J$17)^(1/12)</f>
        <v>15746.881604267337</v>
      </c>
      <c r="L285" s="31">
        <f t="shared" si="35"/>
        <v>16</v>
      </c>
      <c r="M285" s="31">
        <f t="shared" si="36"/>
        <v>-2.6666666666666661</v>
      </c>
      <c r="N285" s="31">
        <f t="shared" si="37"/>
        <v>-2.35</v>
      </c>
      <c r="O285" s="62"/>
      <c r="P285" s="31">
        <f>O285+N285+M285+L285+I285+F285</f>
        <v>-10.18632637099827</v>
      </c>
      <c r="Q285" s="31">
        <f>SUM($P$36:P285)</f>
        <v>-3030.6173081525972</v>
      </c>
      <c r="R285" s="83">
        <f t="shared" si="38"/>
        <v>-0.18690774751721562</v>
      </c>
      <c r="S285" s="31">
        <f>SUMPRODUCT($P$36:P285,$D$36:D285)/D285-Q285</f>
        <v>-2623.8693532664297</v>
      </c>
      <c r="T285" s="31">
        <f t="shared" si="32"/>
        <v>10688.364508359004</v>
      </c>
      <c r="U285" s="31">
        <f t="shared" si="33"/>
        <v>11309.604508359003</v>
      </c>
      <c r="V285" s="80" cm="1">
        <f t="array" ref="V285">IF($L$2&lt;&gt;1,IRR(IF(ROW($P$36:P285)=ROW(P285),P285+K285+J285,$P$36:P285),V284/12)*12,0)</f>
        <v>0.10655109263824514</v>
      </c>
      <c r="W285" s="83">
        <f>(1+V285/12)^(B285)-1</f>
        <v>8.0356436461601177</v>
      </c>
    </row>
    <row r="286" spans="2:23" x14ac:dyDescent="0.25">
      <c r="B286" s="33">
        <v>250</v>
      </c>
      <c r="C286" s="105">
        <f t="shared" si="31"/>
        <v>3.9789301544717048E-3</v>
      </c>
      <c r="D286" s="106">
        <f t="shared" si="34"/>
        <v>0.37055300285018516</v>
      </c>
      <c r="E286" s="60">
        <f>rate</f>
        <v>3.5145930840192463E-3</v>
      </c>
      <c r="F286" s="31">
        <f>IF(AND(B285&gt;=gracia,12*años+gracia-B285&gt;0,$L$2&lt;&gt;1),PMT(E285,12*años-B285+gracia,-J285),0)</f>
        <v>-21.169659704331604</v>
      </c>
      <c r="G286" s="31">
        <f>IF(AND(12*años+gracia-B285&gt;0,$L$2&lt;&gt;1),J285*E286,0)</f>
        <v>-7.1272425691304075</v>
      </c>
      <c r="H286" s="31">
        <f>IF(AND(12*años+gracia-B285&gt;0,$L$2&lt;&gt;1),F286-G286,0)</f>
        <v>-14.042417135201196</v>
      </c>
      <c r="I286" s="62"/>
      <c r="J286" s="61">
        <f>J285-H286-I286</f>
        <v>-2013.8573706205348</v>
      </c>
      <c r="K286" s="61">
        <f>K285*(1+$J$17)^(1/12)</f>
        <v>15823.530346722579</v>
      </c>
      <c r="L286" s="31">
        <f t="shared" si="35"/>
        <v>16</v>
      </c>
      <c r="M286" s="31">
        <f t="shared" si="36"/>
        <v>-2.6666666666666661</v>
      </c>
      <c r="N286" s="31">
        <f t="shared" si="37"/>
        <v>-2.35</v>
      </c>
      <c r="O286" s="62"/>
      <c r="P286" s="31">
        <f>O286+N286+M286+L286+I286+F286</f>
        <v>-10.18632637099827</v>
      </c>
      <c r="Q286" s="31">
        <f>SUM($P$36:P286)</f>
        <v>-3040.8036345235955</v>
      </c>
      <c r="R286" s="83">
        <f t="shared" si="38"/>
        <v>-0.18694716125351324</v>
      </c>
      <c r="S286" s="31">
        <f>SUMPRODUCT($P$36:P286,$D$36:D286)/D286-Q286</f>
        <v>-2646.3681607516078</v>
      </c>
      <c r="T286" s="31">
        <f t="shared" si="32"/>
        <v>10768.869341578447</v>
      </c>
      <c r="U286" s="31">
        <f t="shared" si="33"/>
        <v>11390.109341578447</v>
      </c>
      <c r="V286" s="80" cm="1">
        <f t="array" ref="V286">IF($L$2&lt;&gt;1,IRR(IF(ROW($P$36:P286)=ROW(P286),P286+K286+J286,$P$36:P286),V285/12)*12,0)</f>
        <v>0.10636525195037194</v>
      </c>
      <c r="W286" s="83">
        <f>(1+V286/12)^(B286)-1</f>
        <v>8.0809570974257099</v>
      </c>
    </row>
    <row r="287" spans="2:23" x14ac:dyDescent="0.25">
      <c r="B287" s="33">
        <v>251</v>
      </c>
      <c r="C287" s="105">
        <f t="shared" si="31"/>
        <v>3.9789301544717048E-3</v>
      </c>
      <c r="D287" s="106">
        <f t="shared" si="34"/>
        <v>0.36908444163581405</v>
      </c>
      <c r="E287" s="60">
        <f>rate</f>
        <v>3.5145930840192463E-3</v>
      </c>
      <c r="F287" s="31">
        <f>IF(AND(B286&gt;=gracia,12*años+gracia-B286&gt;0,$L$2&lt;&gt;1),PMT(E286,12*años-B286+gracia,-J286),0)</f>
        <v>-21.169659704331604</v>
      </c>
      <c r="G287" s="31">
        <f>IF(AND(12*años+gracia-B286&gt;0,$L$2&lt;&gt;1),J286*E287,0)</f>
        <v>-7.0778891869841152</v>
      </c>
      <c r="H287" s="31">
        <f>IF(AND(12*años+gracia-B286&gt;0,$L$2&lt;&gt;1),F287-G287,0)</f>
        <v>-14.091770517347488</v>
      </c>
      <c r="I287" s="62"/>
      <c r="J287" s="61">
        <f>J286-H287-I287</f>
        <v>-1999.7656001031874</v>
      </c>
      <c r="K287" s="61">
        <f>K286*(1+$J$17)^(1/12)</f>
        <v>15900.55218080749</v>
      </c>
      <c r="L287" s="31">
        <f t="shared" si="35"/>
        <v>16</v>
      </c>
      <c r="M287" s="31">
        <f t="shared" si="36"/>
        <v>-2.6666666666666661</v>
      </c>
      <c r="N287" s="31">
        <f t="shared" si="37"/>
        <v>-2.35</v>
      </c>
      <c r="O287" s="62"/>
      <c r="P287" s="31">
        <f>O287+N287+M287+L287+I287+F287</f>
        <v>-10.18632637099827</v>
      </c>
      <c r="Q287" s="31">
        <f>SUM($P$36:P287)</f>
        <v>-3050.9899608945939</v>
      </c>
      <c r="R287" s="83">
        <f t="shared" si="38"/>
        <v>-0.18698626093613518</v>
      </c>
      <c r="S287" s="31">
        <f>SUMPRODUCT($P$36:P287,$D$36:D287)/D287-Q287</f>
        <v>-2668.9970201014899</v>
      </c>
      <c r="T287" s="31">
        <f t="shared" si="32"/>
        <v>10849.796619809709</v>
      </c>
      <c r="U287" s="31">
        <f t="shared" si="33"/>
        <v>11471.036619809709</v>
      </c>
      <c r="V287" s="80" cm="1">
        <f t="array" ref="V287">IF($L$2&lt;&gt;1,IRR(IF(ROW($P$36:P287)=ROW(P287),P287+K287+J287,$P$36:P287),V286/12)*12,0)</f>
        <v>0.10618062659333738</v>
      </c>
      <c r="W287" s="83">
        <f>(1+V287/12)^(B287)-1</f>
        <v>8.126447027979399</v>
      </c>
    </row>
    <row r="288" spans="2:23" x14ac:dyDescent="0.25">
      <c r="B288" s="33">
        <v>252</v>
      </c>
      <c r="C288" s="105">
        <f t="shared" si="31"/>
        <v>3.9789301544717048E-3</v>
      </c>
      <c r="D288" s="106">
        <f t="shared" si="34"/>
        <v>0.36762170056599386</v>
      </c>
      <c r="E288" s="60">
        <f>rate</f>
        <v>3.5145930840192463E-3</v>
      </c>
      <c r="F288" s="31">
        <f>IF(AND(B287&gt;=gracia,12*años+gracia-B287&gt;0,$L$2&lt;&gt;1),PMT(E287,12*años-B287+gracia,-J287),0)</f>
        <v>-21.169659704331604</v>
      </c>
      <c r="G288" s="31">
        <f>IF(AND(12*años+gracia-B287&gt;0,$L$2&lt;&gt;1),J287*E288,0)</f>
        <v>-7.0283623477822603</v>
      </c>
      <c r="H288" s="31">
        <f>IF(AND(12*años+gracia-B287&gt;0,$L$2&lt;&gt;1),F288-G288,0)</f>
        <v>-14.141297356549344</v>
      </c>
      <c r="I288" s="62"/>
      <c r="J288" s="61">
        <f>J287-H288-I288</f>
        <v>-1985.624302746638</v>
      </c>
      <c r="K288" s="61">
        <f>K287*(1+$J$17)^(1/12)</f>
        <v>15977.948922564447</v>
      </c>
      <c r="L288" s="31">
        <f t="shared" si="35"/>
        <v>16</v>
      </c>
      <c r="M288" s="31">
        <f t="shared" si="36"/>
        <v>-2.6666666666666661</v>
      </c>
      <c r="N288" s="31">
        <f t="shared" si="37"/>
        <v>-2.35</v>
      </c>
      <c r="O288" s="62"/>
      <c r="P288" s="31">
        <f>O288+N288+M288+L288+I288+F288</f>
        <v>-10.18632637099827</v>
      </c>
      <c r="Q288" s="31">
        <f>SUM($P$36:P288)</f>
        <v>-3061.1762872655922</v>
      </c>
      <c r="R288" s="83">
        <f t="shared" si="38"/>
        <v>-0.18702505030381572</v>
      </c>
      <c r="S288" s="31">
        <f>SUMPRODUCT($P$36:P288,$D$36:D288)/D288-Q288</f>
        <v>-2691.7564487833602</v>
      </c>
      <c r="T288" s="31">
        <f t="shared" si="32"/>
        <v>10931.148332552217</v>
      </c>
      <c r="U288" s="31">
        <f t="shared" si="33"/>
        <v>11552.388332552217</v>
      </c>
      <c r="V288" s="80" cm="1">
        <f t="array" ref="V288">IF($L$2&lt;&gt;1,IRR(IF(ROW($P$36:P288)=ROW(P288),P288+K288+J288,$P$36:P288),V287/12)*12,0)</f>
        <v>0.1059972051170206</v>
      </c>
      <c r="W288" s="83">
        <f>(1+V288/12)^(B288)-1</f>
        <v>8.1721143948429642</v>
      </c>
    </row>
    <row r="289" spans="2:23" x14ac:dyDescent="0.25">
      <c r="B289" s="33">
        <v>253</v>
      </c>
      <c r="C289" s="105">
        <f t="shared" si="31"/>
        <v>3.9789301544717048E-3</v>
      </c>
      <c r="D289" s="106">
        <f t="shared" si="34"/>
        <v>0.36616475657455455</v>
      </c>
      <c r="E289" s="60">
        <f>rate</f>
        <v>3.5145930840192463E-3</v>
      </c>
      <c r="F289" s="31">
        <f>IF(AND(B288&gt;=gracia,12*años+gracia-B288&gt;0,$L$2&lt;&gt;1),PMT(E288,12*años-B288+gracia,-J288),0)</f>
        <v>-21.169659704331604</v>
      </c>
      <c r="G289" s="31">
        <f>IF(AND(12*años+gracia-B288&gt;0,$L$2&lt;&gt;1),J288*E289,0)</f>
        <v>-6.9786614418938724</v>
      </c>
      <c r="H289" s="31">
        <f>IF(AND(12*años+gracia-B288&gt;0,$L$2&lt;&gt;1),F289-G289,0)</f>
        <v>-14.190998262437731</v>
      </c>
      <c r="I289" s="62"/>
      <c r="J289" s="61">
        <f>J288-H289-I289</f>
        <v>-1971.4333044842003</v>
      </c>
      <c r="K289" s="61">
        <f>K288*(1+$J$17)^(1/12)</f>
        <v>16055.722396875497</v>
      </c>
      <c r="L289" s="31">
        <f t="shared" si="35"/>
        <v>16</v>
      </c>
      <c r="M289" s="31">
        <f t="shared" si="36"/>
        <v>-2.6666666666666661</v>
      </c>
      <c r="N289" s="31">
        <f t="shared" si="37"/>
        <v>-2.35</v>
      </c>
      <c r="O289" s="62"/>
      <c r="P289" s="31">
        <f>O289+N289+M289+L289+I289+F289</f>
        <v>-10.18632637099827</v>
      </c>
      <c r="Q289" s="31">
        <f>SUM($P$36:P289)</f>
        <v>-3071.3626136365906</v>
      </c>
      <c r="R289" s="83">
        <f t="shared" si="38"/>
        <v>-0.18706353303617859</v>
      </c>
      <c r="S289" s="31">
        <f>SUMPRODUCT($P$36:P289,$D$36:D289)/D289-Q289</f>
        <v>-2714.6469663234725</v>
      </c>
      <c r="T289" s="31">
        <f t="shared" si="32"/>
        <v>11012.926478754707</v>
      </c>
      <c r="U289" s="31">
        <f t="shared" si="33"/>
        <v>11634.166478754707</v>
      </c>
      <c r="V289" s="80" cm="1">
        <f t="array" ref="V289">IF($L$2&lt;&gt;1,IRR(IF(ROW($P$36:P289)=ROW(P289),P289+K289+J289,$P$36:P289),V288/12)*12,0)</f>
        <v>0.10581497621315794</v>
      </c>
      <c r="W289" s="83">
        <f>(1+V289/12)^(B289)-1</f>
        <v>8.2179601579880543</v>
      </c>
    </row>
    <row r="290" spans="2:23" x14ac:dyDescent="0.25">
      <c r="B290" s="33">
        <v>254</v>
      </c>
      <c r="C290" s="105">
        <f t="shared" si="31"/>
        <v>3.9789301544717048E-3</v>
      </c>
      <c r="D290" s="106">
        <f t="shared" si="34"/>
        <v>0.36471358668674114</v>
      </c>
      <c r="E290" s="60">
        <f>rate</f>
        <v>3.5145930840192463E-3</v>
      </c>
      <c r="F290" s="31">
        <f>IF(AND(B289&gt;=gracia,12*años+gracia-B289&gt;0,$L$2&lt;&gt;1),PMT(E289,12*años-B289+gracia,-J289),0)</f>
        <v>-21.169659704331611</v>
      </c>
      <c r="G290" s="31">
        <f>IF(AND(12*años+gracia-B289&gt;0,$L$2&lt;&gt;1),J289*E290,0)</f>
        <v>-6.9287858575453791</v>
      </c>
      <c r="H290" s="31">
        <f>IF(AND(12*años+gracia-B289&gt;0,$L$2&lt;&gt;1),F290-G290,0)</f>
        <v>-14.240873846786233</v>
      </c>
      <c r="I290" s="62"/>
      <c r="J290" s="61">
        <f>J289-H290-I290</f>
        <v>-1957.1924306374142</v>
      </c>
      <c r="K290" s="61">
        <f>K289*(1+$J$17)^(1/12)</f>
        <v>16133.874437505399</v>
      </c>
      <c r="L290" s="31">
        <f t="shared" si="35"/>
        <v>16</v>
      </c>
      <c r="M290" s="31">
        <f t="shared" si="36"/>
        <v>-2.6666666666666661</v>
      </c>
      <c r="N290" s="31">
        <f t="shared" si="37"/>
        <v>-2.35</v>
      </c>
      <c r="O290" s="62"/>
      <c r="P290" s="31">
        <f>O290+N290+M290+L290+I290+F290</f>
        <v>-10.186326370998277</v>
      </c>
      <c r="Q290" s="31">
        <f>SUM($P$36:P290)</f>
        <v>-3081.548940007589</v>
      </c>
      <c r="R290" s="83">
        <f t="shared" si="38"/>
        <v>-0.18710171275490084</v>
      </c>
      <c r="S290" s="31">
        <f>SUMPRODUCT($P$36:P290,$D$36:D290)/D290-Q290</f>
        <v>-2737.6690943152375</v>
      </c>
      <c r="T290" s="31">
        <f t="shared" si="32"/>
        <v>11095.133066860395</v>
      </c>
      <c r="U290" s="31">
        <f t="shared" si="33"/>
        <v>11716.373066860395</v>
      </c>
      <c r="V290" s="80" cm="1">
        <f t="array" ref="V290">IF($L$2&lt;&gt;1,IRR(IF(ROW($P$36:P290)=ROW(P290),P290+K290+J290,$P$36:P290),V289/12)*12,0)</f>
        <v>0.10563392871317401</v>
      </c>
      <c r="W290" s="83">
        <f>(1+V290/12)^(B290)-1</f>
        <v>8.2639852803688587</v>
      </c>
    </row>
    <row r="291" spans="2:23" x14ac:dyDescent="0.25">
      <c r="B291" s="33">
        <v>255</v>
      </c>
      <c r="C291" s="105">
        <f t="shared" si="31"/>
        <v>3.9789301544717048E-3</v>
      </c>
      <c r="D291" s="106">
        <f t="shared" si="34"/>
        <v>0.36326816801885126</v>
      </c>
      <c r="E291" s="60">
        <f>rate</f>
        <v>3.5145930840192463E-3</v>
      </c>
      <c r="F291" s="31">
        <f>IF(AND(B290&gt;=gracia,12*años+gracia-B290&gt;0,$L$2&lt;&gt;1),PMT(E290,12*años-B290+gracia,-J290),0)</f>
        <v>-21.169659704331607</v>
      </c>
      <c r="G291" s="31">
        <f>IF(AND(12*años+gracia-B290&gt;0,$L$2&lt;&gt;1),J290*E291,0)</f>
        <v>-6.878734980813074</v>
      </c>
      <c r="H291" s="31">
        <f>IF(AND(12*años+gracia-B290&gt;0,$L$2&lt;&gt;1),F291-G291,0)</f>
        <v>-14.290924723518533</v>
      </c>
      <c r="I291" s="62"/>
      <c r="J291" s="61">
        <f>J290-H291-I291</f>
        <v>-1942.9015059138956</v>
      </c>
      <c r="K291" s="61">
        <f>K290*(1+$J$17)^(1/12)</f>
        <v>16212.406887144853</v>
      </c>
      <c r="L291" s="31">
        <f t="shared" si="35"/>
        <v>16</v>
      </c>
      <c r="M291" s="31">
        <f t="shared" si="36"/>
        <v>-2.6666666666666661</v>
      </c>
      <c r="N291" s="31">
        <f t="shared" si="37"/>
        <v>-2.35</v>
      </c>
      <c r="O291" s="62"/>
      <c r="P291" s="31">
        <f>O291+N291+M291+L291+I291+F291</f>
        <v>-10.186326370998273</v>
      </c>
      <c r="Q291" s="31">
        <f>SUM($P$36:P291)</f>
        <v>-3091.7352663785873</v>
      </c>
      <c r="R291" s="83">
        <f t="shared" si="38"/>
        <v>-0.18713959302484873</v>
      </c>
      <c r="S291" s="31">
        <f>SUMPRODUCT($P$36:P291,$D$36:D291)/D291-Q291</f>
        <v>-2760.8233564274501</v>
      </c>
      <c r="T291" s="31">
        <f t="shared" si="32"/>
        <v>11177.77011485237</v>
      </c>
      <c r="U291" s="31">
        <f t="shared" si="33"/>
        <v>11799.01011485237</v>
      </c>
      <c r="V291" s="80" cm="1">
        <f t="array" ref="V291">IF($L$2&lt;&gt;1,IRR(IF(ROW($P$36:P291)=ROW(P291),P291+K291+J291,$P$36:P291),V290/12)*12,0)</f>
        <v>0.10545405158606602</v>
      </c>
      <c r="W291" s="83">
        <f>(1+V291/12)^(B291)-1</f>
        <v>8.310190727954426</v>
      </c>
    </row>
    <row r="292" spans="2:23" x14ac:dyDescent="0.25">
      <c r="B292" s="33">
        <v>256</v>
      </c>
      <c r="C292" s="105">
        <f t="shared" si="31"/>
        <v>3.9789301544717048E-3</v>
      </c>
      <c r="D292" s="106">
        <f t="shared" si="34"/>
        <v>0.3618284777778743</v>
      </c>
      <c r="E292" s="60">
        <f>rate</f>
        <v>3.5145930840192463E-3</v>
      </c>
      <c r="F292" s="31">
        <f>IF(AND(B291&gt;=gracia,12*años+gracia-B291&gt;0,$L$2&lt;&gt;1),PMT(E291,12*años-B291+gracia,-J291),0)</f>
        <v>-21.169659704331604</v>
      </c>
      <c r="G292" s="31">
        <f>IF(AND(12*años+gracia-B291&gt;0,$L$2&lt;&gt;1),J291*E292,0)</f>
        <v>-6.828508195615556</v>
      </c>
      <c r="H292" s="31">
        <f>IF(AND(12*años+gracia-B291&gt;0,$L$2&lt;&gt;1),F292-G292,0)</f>
        <v>-14.341151508716049</v>
      </c>
      <c r="I292" s="62"/>
      <c r="J292" s="61">
        <f>J291-H292-I292</f>
        <v>-1928.5603544051796</v>
      </c>
      <c r="K292" s="61">
        <f>K291*(1+$J$17)^(1/12)</f>
        <v>16291.321597453945</v>
      </c>
      <c r="L292" s="31">
        <f t="shared" si="35"/>
        <v>16</v>
      </c>
      <c r="M292" s="31">
        <f t="shared" si="36"/>
        <v>-2.6666666666666661</v>
      </c>
      <c r="N292" s="31">
        <f t="shared" si="37"/>
        <v>-2.35</v>
      </c>
      <c r="O292" s="62"/>
      <c r="P292" s="31">
        <f>O292+N292+M292+L292+I292+F292</f>
        <v>-10.18632637099827</v>
      </c>
      <c r="Q292" s="31">
        <f>SUM($P$36:P292)</f>
        <v>-3101.9215927495857</v>
      </c>
      <c r="R292" s="83">
        <f t="shared" si="38"/>
        <v>-0.18717717735518771</v>
      </c>
      <c r="S292" s="31">
        <f>SUMPRODUCT($P$36:P292,$D$36:D292)/D292-Q292</f>
        <v>-2784.1102784125455</v>
      </c>
      <c r="T292" s="31">
        <f t="shared" si="32"/>
        <v>11260.83965029918</v>
      </c>
      <c r="U292" s="31">
        <f t="shared" si="33"/>
        <v>11882.07965029918</v>
      </c>
      <c r="V292" s="80" cm="1">
        <f t="array" ref="V292">IF($L$2&lt;&gt;1,IRR(IF(ROW($P$36:P292)=ROW(P292),P292+K292+J292,$P$36:P292),V291/12)*12,0)</f>
        <v>0.10527533393631749</v>
      </c>
      <c r="W292" s="83">
        <f>(1+V292/12)^(B292)-1</f>
        <v>8.3565774697617172</v>
      </c>
    </row>
    <row r="293" spans="2:23" x14ac:dyDescent="0.25">
      <c r="B293" s="33">
        <v>257</v>
      </c>
      <c r="C293" s="105">
        <f t="shared" ref="C293:C356" si="39">(1+$E$3/360)^30-1-((1+$E$4)^(1/12)-1)</f>
        <v>3.9789301544717048E-3</v>
      </c>
      <c r="D293" s="106">
        <f t="shared" si="34"/>
        <v>0.36039449326113204</v>
      </c>
      <c r="E293" s="60">
        <f>rate</f>
        <v>3.5145930840192463E-3</v>
      </c>
      <c r="F293" s="31">
        <f>IF(AND(B292&gt;=gracia,12*años+gracia-B292&gt;0,$L$2&lt;&gt;1),PMT(E292,12*años-B292+gracia,-J292),0)</f>
        <v>-21.169659704331604</v>
      </c>
      <c r="G293" s="31">
        <f>IF(AND(12*años+gracia-B292&gt;0,$L$2&lt;&gt;1),J292*E293,0)</f>
        <v>-6.7781048837061508</v>
      </c>
      <c r="H293" s="31">
        <f>IF(AND(12*años+gracia-B292&gt;0,$L$2&lt;&gt;1),F293-G293,0)</f>
        <v>-14.391554820625453</v>
      </c>
      <c r="I293" s="62"/>
      <c r="J293" s="61">
        <f>J292-H293-I293</f>
        <v>-1914.1687995845541</v>
      </c>
      <c r="K293" s="61">
        <f>K292*(1+$J$17)^(1/12)</f>
        <v>16370.620429105818</v>
      </c>
      <c r="L293" s="31">
        <f t="shared" si="35"/>
        <v>16</v>
      </c>
      <c r="M293" s="31">
        <f t="shared" si="36"/>
        <v>-2.6666666666666661</v>
      </c>
      <c r="N293" s="31">
        <f t="shared" si="37"/>
        <v>-2.35</v>
      </c>
      <c r="O293" s="62"/>
      <c r="P293" s="31">
        <f>O293+N293+M293+L293+I293+F293</f>
        <v>-10.18632637099827</v>
      </c>
      <c r="Q293" s="31">
        <f>SUM($P$36:P293)</f>
        <v>-3112.107919120584</v>
      </c>
      <c r="R293" s="83">
        <f t="shared" si="38"/>
        <v>-0.18721446920046567</v>
      </c>
      <c r="S293" s="31">
        <f>SUMPRODUCT($P$36:P293,$D$36:D293)/D293-Q293</f>
        <v>-2807.5303881148934</v>
      </c>
      <c r="T293" s="31">
        <f t="shared" ref="T293:T356" si="40">Q293+J293+K293</f>
        <v>11344.343710400681</v>
      </c>
      <c r="U293" s="31">
        <f t="shared" ref="U293:U356" si="41">IF($L$2&lt;&gt;1,T293+$E$30,T293)</f>
        <v>11965.583710400681</v>
      </c>
      <c r="V293" s="80" cm="1">
        <f t="array" ref="V293">IF($L$2&lt;&gt;1,IRR(IF(ROW($P$36:P293)=ROW(P293),P293+K293+J293,$P$36:P293),V292/12)*12,0)</f>
        <v>0.10509776500183587</v>
      </c>
      <c r="W293" s="83">
        <f>(1+V293/12)^(B293)-1</f>
        <v>8.4031464778859615</v>
      </c>
    </row>
    <row r="294" spans="2:23" x14ac:dyDescent="0.25">
      <c r="B294" s="33">
        <v>258</v>
      </c>
      <c r="C294" s="105">
        <f t="shared" si="39"/>
        <v>3.9789301544717048E-3</v>
      </c>
      <c r="D294" s="106">
        <f t="shared" ref="D294:D357" si="42">D293/(1+C294)</f>
        <v>0.35896619185592066</v>
      </c>
      <c r="E294" s="60">
        <f>rate</f>
        <v>3.5145930840192463E-3</v>
      </c>
      <c r="F294" s="31">
        <f>IF(AND(B293&gt;=gracia,12*años+gracia-B293&gt;0,$L$2&lt;&gt;1),PMT(E293,12*años-B293+gracia,-J293),0)</f>
        <v>-21.169659704331604</v>
      </c>
      <c r="G294" s="31">
        <f>IF(AND(12*años+gracia-B293&gt;0,$L$2&lt;&gt;1),J293*E294,0)</f>
        <v>-6.7275244246652965</v>
      </c>
      <c r="H294" s="31">
        <f>IF(AND(12*años+gracia-B293&gt;0,$L$2&lt;&gt;1),F294-G294,0)</f>
        <v>-14.442135279666307</v>
      </c>
      <c r="I294" s="62"/>
      <c r="J294" s="61">
        <f>J293-H294-I294</f>
        <v>-1899.7266643048879</v>
      </c>
      <c r="K294" s="61">
        <f>K293*(1+$J$17)^(1/12)</f>
        <v>16450.30525183053</v>
      </c>
      <c r="L294" s="31">
        <f t="shared" ref="L294:L357" si="43">IF($L$2=3,$J$7*$J$16,0)</f>
        <v>16</v>
      </c>
      <c r="M294" s="31">
        <f t="shared" ref="M294:M357" si="44">-$J$28</f>
        <v>-2.6666666666666661</v>
      </c>
      <c r="N294" s="31">
        <f t="shared" ref="N294:N357" si="45">IF($L$2&lt;&gt;1,-$E$17-$E$18,0)</f>
        <v>-2.35</v>
      </c>
      <c r="O294" s="62"/>
      <c r="P294" s="31">
        <f>O294+N294+M294+L294+I294+F294</f>
        <v>-10.18632637099827</v>
      </c>
      <c r="Q294" s="31">
        <f>SUM($P$36:P294)</f>
        <v>-3122.2942454915824</v>
      </c>
      <c r="R294" s="83">
        <f t="shared" ref="R294:R357" si="46">IF($L$2&lt;&gt;1,-(Q294-$Q$36)/B294*12/$P$36,0)</f>
        <v>-0.18725147196167174</v>
      </c>
      <c r="S294" s="31">
        <f>SUMPRODUCT($P$36:P294,$D$36:D294)/D294-Q294</f>
        <v>-2831.0842154791185</v>
      </c>
      <c r="T294" s="31">
        <f t="shared" si="40"/>
        <v>11428.28434203406</v>
      </c>
      <c r="U294" s="31">
        <f t="shared" si="41"/>
        <v>12049.524342034059</v>
      </c>
      <c r="V294" s="80" cm="1">
        <f t="array" ref="V294">IF($L$2&lt;&gt;1,IRR(IF(ROW($P$36:P294)=ROW(P294),P294+K294+J294,$P$36:P294),V293/12)*12,0)</f>
        <v>0.10492133415196214</v>
      </c>
      <c r="W294" s="83">
        <f>(1+V294/12)^(B294)-1</f>
        <v>8.4498987275352064</v>
      </c>
    </row>
    <row r="295" spans="2:23" x14ac:dyDescent="0.25">
      <c r="B295" s="33">
        <v>259</v>
      </c>
      <c r="C295" s="105">
        <f t="shared" si="39"/>
        <v>3.9789301544717048E-3</v>
      </c>
      <c r="D295" s="106">
        <f t="shared" si="42"/>
        <v>0.35754355103915408</v>
      </c>
      <c r="E295" s="60">
        <f>rate</f>
        <v>3.5145930840192463E-3</v>
      </c>
      <c r="F295" s="31">
        <f>IF(AND(B294&gt;=gracia,12*años+gracia-B294&gt;0,$L$2&lt;&gt;1),PMT(E294,12*años-B294+gracia,-J294),0)</f>
        <v>-21.169659704331607</v>
      </c>
      <c r="G295" s="31">
        <f>IF(AND(12*años+gracia-B294&gt;0,$L$2&lt;&gt;1),J294*E295,0)</f>
        <v>-6.6767661958929114</v>
      </c>
      <c r="H295" s="31">
        <f>IF(AND(12*años+gracia-B294&gt;0,$L$2&lt;&gt;1),F295-G295,0)</f>
        <v>-14.492893508438696</v>
      </c>
      <c r="I295" s="62"/>
      <c r="J295" s="61">
        <f>J294-H295-I295</f>
        <v>-1885.2337707964491</v>
      </c>
      <c r="K295" s="61">
        <f>K294*(1+$J$17)^(1/12)</f>
        <v>16530.377944459146</v>
      </c>
      <c r="L295" s="31">
        <f t="shared" si="43"/>
        <v>16</v>
      </c>
      <c r="M295" s="31">
        <f t="shared" si="44"/>
        <v>-2.6666666666666661</v>
      </c>
      <c r="N295" s="31">
        <f t="shared" si="45"/>
        <v>-2.35</v>
      </c>
      <c r="O295" s="62"/>
      <c r="P295" s="31">
        <f>O295+N295+M295+L295+I295+F295</f>
        <v>-10.186326370998273</v>
      </c>
      <c r="Q295" s="31">
        <f>SUM($P$36:P295)</f>
        <v>-3132.4805718625807</v>
      </c>
      <c r="R295" s="83">
        <f t="shared" si="46"/>
        <v>-0.18728818898726995</v>
      </c>
      <c r="S295" s="31">
        <f>SUMPRODUCT($P$36:P295,$D$36:D295)/D295-Q295</f>
        <v>-2854.7722925584571</v>
      </c>
      <c r="T295" s="31">
        <f t="shared" si="40"/>
        <v>11512.663601800115</v>
      </c>
      <c r="U295" s="31">
        <f t="shared" si="41"/>
        <v>12133.903601800115</v>
      </c>
      <c r="V295" s="80" cm="1">
        <f t="array" ref="V295">IF($L$2&lt;&gt;1,IRR(IF(ROW($P$36:P295)=ROW(P295),P295+K295+J295,$P$36:P295),V294/12)*12,0)</f>
        <v>0.10474603088548307</v>
      </c>
      <c r="W295" s="83">
        <f>(1+V295/12)^(B295)-1</f>
        <v>8.4968351970625715</v>
      </c>
    </row>
    <row r="296" spans="2:23" x14ac:dyDescent="0.25">
      <c r="B296" s="33">
        <v>260</v>
      </c>
      <c r="C296" s="105">
        <f t="shared" si="39"/>
        <v>3.9789301544717048E-3</v>
      </c>
      <c r="D296" s="106">
        <f t="shared" si="42"/>
        <v>0.35612654837700886</v>
      </c>
      <c r="E296" s="60">
        <f>rate</f>
        <v>3.5145930840192463E-3</v>
      </c>
      <c r="F296" s="31">
        <f>IF(AND(B295&gt;=gracia,12*años+gracia-B295&gt;0,$L$2&lt;&gt;1),PMT(E295,12*años-B295+gracia,-J295),0)</f>
        <v>-21.169659704331607</v>
      </c>
      <c r="G296" s="31">
        <f>IF(AND(12*años+gracia-B295&gt;0,$L$2&lt;&gt;1),J295*E296,0)</f>
        <v>-6.6258295726007246</v>
      </c>
      <c r="H296" s="31">
        <f>IF(AND(12*años+gracia-B295&gt;0,$L$2&lt;&gt;1),F296-G296,0)</f>
        <v>-14.543830131730882</v>
      </c>
      <c r="I296" s="62"/>
      <c r="J296" s="61">
        <f>J295-H296-I296</f>
        <v>-1870.6899406647183</v>
      </c>
      <c r="K296" s="61">
        <f>K295*(1+$J$17)^(1/12)</f>
        <v>16610.840394968032</v>
      </c>
      <c r="L296" s="31">
        <f t="shared" si="43"/>
        <v>16</v>
      </c>
      <c r="M296" s="31">
        <f t="shared" si="44"/>
        <v>-2.6666666666666661</v>
      </c>
      <c r="N296" s="31">
        <f t="shared" si="45"/>
        <v>-2.35</v>
      </c>
      <c r="O296" s="62"/>
      <c r="P296" s="31">
        <f>O296+N296+M296+L296+I296+F296</f>
        <v>-10.186326370998273</v>
      </c>
      <c r="Q296" s="31">
        <f>SUM($P$36:P296)</f>
        <v>-3142.6668982335791</v>
      </c>
      <c r="R296" s="83">
        <f t="shared" si="46"/>
        <v>-0.18732462357420981</v>
      </c>
      <c r="S296" s="31">
        <f>SUMPRODUCT($P$36:P296,$D$36:D296)/D296-Q296</f>
        <v>-2878.5951535231493</v>
      </c>
      <c r="T296" s="31">
        <f t="shared" si="40"/>
        <v>11597.483556069736</v>
      </c>
      <c r="U296" s="31">
        <f t="shared" si="41"/>
        <v>12218.723556069735</v>
      </c>
      <c r="V296" s="80" cm="1">
        <f t="array" ref="V296">IF($L$2&lt;&gt;1,IRR(IF(ROW($P$36:P296)=ROW(P296),P296+K296+J296,$P$36:P296),V295/12)*12,0)</f>
        <v>0.10457184482869142</v>
      </c>
      <c r="W296" s="83">
        <f>(1+V296/12)^(B296)-1</f>
        <v>8.5439568679967444</v>
      </c>
    </row>
    <row r="297" spans="2:23" x14ac:dyDescent="0.25">
      <c r="B297" s="33">
        <v>261</v>
      </c>
      <c r="C297" s="105">
        <f t="shared" si="39"/>
        <v>3.9789301544717048E-3</v>
      </c>
      <c r="D297" s="106">
        <f t="shared" si="42"/>
        <v>0.35471516152457044</v>
      </c>
      <c r="E297" s="60">
        <f>rate</f>
        <v>3.5145930840192463E-3</v>
      </c>
      <c r="F297" s="31">
        <f>IF(AND(B296&gt;=gracia,12*años+gracia-B296&gt;0,$L$2&lt;&gt;1),PMT(E296,12*años-B296+gracia,-J296),0)</f>
        <v>-21.169659704331607</v>
      </c>
      <c r="G297" s="31">
        <f>IF(AND(12*años+gracia-B296&gt;0,$L$2&lt;&gt;1),J296*E297,0)</f>
        <v>-6.5747139278045932</v>
      </c>
      <c r="H297" s="31">
        <f>IF(AND(12*años+gracia-B296&gt;0,$L$2&lt;&gt;1),F297-G297,0)</f>
        <v>-14.594945776527014</v>
      </c>
      <c r="I297" s="62"/>
      <c r="J297" s="61">
        <f>J296-H297-I297</f>
        <v>-1856.0949948881912</v>
      </c>
      <c r="K297" s="61">
        <f>K296*(1+$J$17)^(1/12)</f>
        <v>16691.694500523383</v>
      </c>
      <c r="L297" s="31">
        <f t="shared" si="43"/>
        <v>16</v>
      </c>
      <c r="M297" s="31">
        <f t="shared" si="44"/>
        <v>-2.6666666666666661</v>
      </c>
      <c r="N297" s="31">
        <f t="shared" si="45"/>
        <v>-2.35</v>
      </c>
      <c r="O297" s="62"/>
      <c r="P297" s="31">
        <f>O297+N297+M297+L297+I297+F297</f>
        <v>-10.186326370998273</v>
      </c>
      <c r="Q297" s="31">
        <f>SUM($P$36:P297)</f>
        <v>-3152.8532246045775</v>
      </c>
      <c r="R297" s="83">
        <f t="shared" si="46"/>
        <v>-0.18736077896891254</v>
      </c>
      <c r="S297" s="31">
        <f>SUMPRODUCT($P$36:P297,$D$36:D297)/D297-Q297</f>
        <v>-2902.5533346688603</v>
      </c>
      <c r="T297" s="31">
        <f t="shared" si="40"/>
        <v>11682.746281030613</v>
      </c>
      <c r="U297" s="31">
        <f t="shared" si="41"/>
        <v>12303.986281030613</v>
      </c>
      <c r="V297" s="80" cm="1">
        <f t="array" ref="V297">IF($L$2&lt;&gt;1,IRR(IF(ROW($P$36:P297)=ROW(P297),P297+K297+J297,$P$36:P297),V296/12)*12,0)</f>
        <v>0.10439876573346751</v>
      </c>
      <c r="W297" s="83">
        <f>(1+V297/12)^(B297)-1</f>
        <v>8.5912647250724756</v>
      </c>
    </row>
    <row r="298" spans="2:23" x14ac:dyDescent="0.25">
      <c r="B298" s="33">
        <v>262</v>
      </c>
      <c r="C298" s="105">
        <f t="shared" si="39"/>
        <v>3.9789301544717048E-3</v>
      </c>
      <c r="D298" s="106">
        <f t="shared" si="42"/>
        <v>0.35330936822548076</v>
      </c>
      <c r="E298" s="60">
        <f>rate</f>
        <v>3.5145930840192463E-3</v>
      </c>
      <c r="F298" s="31">
        <f>IF(AND(B297&gt;=gracia,12*años+gracia-B297&gt;0,$L$2&lt;&gt;1),PMT(E297,12*años-B297+gracia,-J297),0)</f>
        <v>-21.169659704331607</v>
      </c>
      <c r="G298" s="31">
        <f>IF(AND(12*años+gracia-B297&gt;0,$L$2&lt;&gt;1),J297*E298,0)</f>
        <v>-6.5234186323167753</v>
      </c>
      <c r="H298" s="31">
        <f>IF(AND(12*años+gracia-B297&gt;0,$L$2&lt;&gt;1),F298-G298,0)</f>
        <v>-14.646241072014831</v>
      </c>
      <c r="I298" s="62"/>
      <c r="J298" s="61">
        <f>J297-H298-I298</f>
        <v>-1841.4487538161763</v>
      </c>
      <c r="K298" s="61">
        <f>K297*(1+$J$17)^(1/12)</f>
        <v>16772.94216752594</v>
      </c>
      <c r="L298" s="31">
        <f t="shared" si="43"/>
        <v>16</v>
      </c>
      <c r="M298" s="31">
        <f t="shared" si="44"/>
        <v>-2.6666666666666661</v>
      </c>
      <c r="N298" s="31">
        <f t="shared" si="45"/>
        <v>-2.35</v>
      </c>
      <c r="O298" s="62"/>
      <c r="P298" s="31">
        <f>O298+N298+M298+L298+I298+F298</f>
        <v>-10.186326370998273</v>
      </c>
      <c r="Q298" s="31">
        <f>SUM($P$36:P298)</f>
        <v>-3163.0395509755758</v>
      </c>
      <c r="R298" s="83">
        <f t="shared" si="46"/>
        <v>-0.18739665836823588</v>
      </c>
      <c r="S298" s="31">
        <f>SUMPRODUCT($P$36:P298,$D$36:D298)/D298-Q298</f>
        <v>-2926.6473744251384</v>
      </c>
      <c r="T298" s="31">
        <f t="shared" si="40"/>
        <v>11768.453862734188</v>
      </c>
      <c r="U298" s="31">
        <f t="shared" si="41"/>
        <v>12389.693862734188</v>
      </c>
      <c r="V298" s="80" cm="1">
        <f t="array" ref="V298">IF($L$2&lt;&gt;1,IRR(IF(ROW($P$36:P298)=ROW(P298),P298+K298+J298,$P$36:P298),V297/12)*12,0)</f>
        <v>0.10422678347543268</v>
      </c>
      <c r="W298" s="83">
        <f>(1+V298/12)^(B298)-1</f>
        <v>8.6387597562677367</v>
      </c>
    </row>
    <row r="299" spans="2:23" x14ac:dyDescent="0.25">
      <c r="B299" s="33">
        <v>263</v>
      </c>
      <c r="C299" s="105">
        <f t="shared" si="39"/>
        <v>3.9789301544717048E-3</v>
      </c>
      <c r="D299" s="106">
        <f t="shared" si="42"/>
        <v>0.35190914631158721</v>
      </c>
      <c r="E299" s="60">
        <f>rate</f>
        <v>3.5145930840192463E-3</v>
      </c>
      <c r="F299" s="31">
        <f>IF(AND(B298&gt;=gracia,12*años+gracia-B298&gt;0,$L$2&lt;&gt;1),PMT(E298,12*años-B298+gracia,-J298),0)</f>
        <v>-21.169659704331604</v>
      </c>
      <c r="G299" s="31">
        <f>IF(AND(12*años+gracia-B298&gt;0,$L$2&lt;&gt;1),J298*E299,0)</f>
        <v>-6.4719430547381931</v>
      </c>
      <c r="H299" s="31">
        <f>IF(AND(12*años+gracia-B298&gt;0,$L$2&lt;&gt;1),F299-G299,0)</f>
        <v>-14.69771664959341</v>
      </c>
      <c r="I299" s="62"/>
      <c r="J299" s="61">
        <f>J298-H299-I299</f>
        <v>-1826.751037166583</v>
      </c>
      <c r="K299" s="61">
        <f>K298*(1+$J$17)^(1/12)</f>
        <v>16854.585311655948</v>
      </c>
      <c r="L299" s="31">
        <f t="shared" si="43"/>
        <v>16</v>
      </c>
      <c r="M299" s="31">
        <f t="shared" si="44"/>
        <v>-2.6666666666666661</v>
      </c>
      <c r="N299" s="31">
        <f t="shared" si="45"/>
        <v>-2.35</v>
      </c>
      <c r="O299" s="62"/>
      <c r="P299" s="31">
        <f>O299+N299+M299+L299+I299+F299</f>
        <v>-10.18632637099827</v>
      </c>
      <c r="Q299" s="31">
        <f>SUM($P$36:P299)</f>
        <v>-3173.2258773465742</v>
      </c>
      <c r="R299" s="83">
        <f t="shared" si="46"/>
        <v>-0.18743226492041604</v>
      </c>
      <c r="S299" s="31">
        <f>SUMPRODUCT($P$36:P299,$D$36:D299)/D299-Q299</f>
        <v>-2950.8778133639075</v>
      </c>
      <c r="T299" s="31">
        <f t="shared" si="40"/>
        <v>11854.608397142791</v>
      </c>
      <c r="U299" s="31">
        <f t="shared" si="41"/>
        <v>12475.84839714279</v>
      </c>
      <c r="V299" s="80" cm="1">
        <f t="array" ref="V299">IF($L$2&lt;&gt;1,IRR(IF(ROW($P$36:P299)=ROW(P299),P299+K299+J299,$P$36:P299),V298/12)*12,0)</f>
        <v>0.1040558880520841</v>
      </c>
      <c r="W299" s="83">
        <f>(1+V299/12)^(B299)-1</f>
        <v>8.6864429528308307</v>
      </c>
    </row>
    <row r="300" spans="2:23" x14ac:dyDescent="0.25">
      <c r="B300" s="33">
        <v>264</v>
      </c>
      <c r="C300" s="105">
        <f t="shared" si="39"/>
        <v>3.9789301544717048E-3</v>
      </c>
      <c r="D300" s="106">
        <f t="shared" si="42"/>
        <v>0.3505144737025932</v>
      </c>
      <c r="E300" s="60">
        <f>rate</f>
        <v>3.5145930840192463E-3</v>
      </c>
      <c r="F300" s="31">
        <f>IF(AND(B299&gt;=gracia,12*años+gracia-B299&gt;0,$L$2&lt;&gt;1),PMT(E299,12*años-B299+gracia,-J299),0)</f>
        <v>-21.169659704331607</v>
      </c>
      <c r="G300" s="31">
        <f>IF(AND(12*años+gracia-B299&gt;0,$L$2&lt;&gt;1),J299*E300,0)</f>
        <v>-6.4202865614506583</v>
      </c>
      <c r="H300" s="31">
        <f>IF(AND(12*años+gracia-B299&gt;0,$L$2&lt;&gt;1),F300-G300,0)</f>
        <v>-14.749373142880948</v>
      </c>
      <c r="I300" s="62"/>
      <c r="J300" s="61">
        <f>J299-H300-I300</f>
        <v>-1812.001664023702</v>
      </c>
      <c r="K300" s="61">
        <f>K299*(1+$J$17)^(1/12)</f>
        <v>16936.625857918323</v>
      </c>
      <c r="L300" s="31">
        <f t="shared" si="43"/>
        <v>16</v>
      </c>
      <c r="M300" s="31">
        <f t="shared" si="44"/>
        <v>-2.6666666666666661</v>
      </c>
      <c r="N300" s="31">
        <f t="shared" si="45"/>
        <v>-2.35</v>
      </c>
      <c r="O300" s="62"/>
      <c r="P300" s="31">
        <f>O300+N300+M300+L300+I300+F300</f>
        <v>-10.186326370998273</v>
      </c>
      <c r="Q300" s="31">
        <f>SUM($P$36:P300)</f>
        <v>-3183.4122037175725</v>
      </c>
      <c r="R300" s="83">
        <f t="shared" si="46"/>
        <v>-0.18746760172598884</v>
      </c>
      <c r="S300" s="31">
        <f>SUMPRODUCT($P$36:P300,$D$36:D300)/D300-Q300</f>
        <v>-2975.2451942079856</v>
      </c>
      <c r="T300" s="31">
        <f t="shared" si="40"/>
        <v>11941.211990177049</v>
      </c>
      <c r="U300" s="31">
        <f t="shared" si="41"/>
        <v>12562.451990177049</v>
      </c>
      <c r="V300" s="80" cm="1">
        <f t="array" ref="V300">IF($L$2&lt;&gt;1,IRR(IF(ROW($P$36:P300)=ROW(P300),P300+K300+J300,$P$36:P300),V299/12)*12,0)</f>
        <v>0.10388606958098823</v>
      </c>
      <c r="W300" s="83">
        <f>(1+V300/12)^(B300)-1</f>
        <v>8.7343153093122172</v>
      </c>
    </row>
    <row r="301" spans="2:23" x14ac:dyDescent="0.25">
      <c r="B301" s="33">
        <v>265</v>
      </c>
      <c r="C301" s="105">
        <f t="shared" si="39"/>
        <v>3.9789301544717048E-3</v>
      </c>
      <c r="D301" s="106">
        <f t="shared" si="42"/>
        <v>0.34912532840570987</v>
      </c>
      <c r="E301" s="60">
        <f>rate</f>
        <v>3.5145930840192463E-3</v>
      </c>
      <c r="F301" s="31">
        <f>IF(AND(B300&gt;=gracia,12*años+gracia-B300&gt;0,$L$2&lt;&gt;1),PMT(E300,12*años-B300+gracia,-J300),0)</f>
        <v>-21.169659704331607</v>
      </c>
      <c r="G301" s="31">
        <f>IF(AND(12*años+gracia-B300&gt;0,$L$2&lt;&gt;1),J300*E301,0)</f>
        <v>-6.3684485166090692</v>
      </c>
      <c r="H301" s="31">
        <f>IF(AND(12*años+gracia-B300&gt;0,$L$2&lt;&gt;1),F301-G301,0)</f>
        <v>-14.801211187722538</v>
      </c>
      <c r="I301" s="62"/>
      <c r="J301" s="61">
        <f>J300-H301-I301</f>
        <v>-1797.2004528359794</v>
      </c>
      <c r="K301" s="61">
        <f>K300*(1+$J$17)^(1/12)</f>
        <v>17019.065740688038</v>
      </c>
      <c r="L301" s="31">
        <f t="shared" si="43"/>
        <v>16</v>
      </c>
      <c r="M301" s="31">
        <f t="shared" si="44"/>
        <v>-2.6666666666666661</v>
      </c>
      <c r="N301" s="31">
        <f t="shared" si="45"/>
        <v>-2.35</v>
      </c>
      <c r="O301" s="62"/>
      <c r="P301" s="31">
        <f>O301+N301+M301+L301+I301+F301</f>
        <v>-10.186326370998273</v>
      </c>
      <c r="Q301" s="31">
        <f>SUM($P$36:P301)</f>
        <v>-3193.5985300885709</v>
      </c>
      <c r="R301" s="83">
        <f t="shared" si="46"/>
        <v>-0.18750267183868932</v>
      </c>
      <c r="S301" s="31">
        <f>SUMPRODUCT($P$36:P301,$D$36:D301)/D301-Q301</f>
        <v>-2999.7500618396521</v>
      </c>
      <c r="T301" s="31">
        <f t="shared" si="40"/>
        <v>12028.266757763487</v>
      </c>
      <c r="U301" s="31">
        <f t="shared" si="41"/>
        <v>12649.506757763487</v>
      </c>
      <c r="V301" s="80" cm="1">
        <f t="array" ref="V301">IF($L$2&lt;&gt;1,IRR(IF(ROW($P$36:P301)=ROW(P301),P301+K301+J301,$P$36:P301),V300/12)*12,0)</f>
        <v>0.10371731829801956</v>
      </c>
      <c r="W301" s="83">
        <f>(1+V301/12)^(B301)-1</f>
        <v>8.7823778235988161</v>
      </c>
    </row>
    <row r="302" spans="2:23" x14ac:dyDescent="0.25">
      <c r="B302" s="33">
        <v>266</v>
      </c>
      <c r="C302" s="105">
        <f t="shared" si="39"/>
        <v>3.9789301544717048E-3</v>
      </c>
      <c r="D302" s="106">
        <f t="shared" si="42"/>
        <v>0.3477416885153094</v>
      </c>
      <c r="E302" s="60">
        <f>rate</f>
        <v>3.5145930840192463E-3</v>
      </c>
      <c r="F302" s="31">
        <f>IF(AND(B301&gt;=gracia,12*años+gracia-B301&gt;0,$L$2&lt;&gt;1),PMT(E301,12*años-B301+gracia,-J301),0)</f>
        <v>-21.169659704331607</v>
      </c>
      <c r="G302" s="31">
        <f>IF(AND(12*años+gracia-B301&gt;0,$L$2&lt;&gt;1),J301*E302,0)</f>
        <v>-6.3164282821335904</v>
      </c>
      <c r="H302" s="31">
        <f>IF(AND(12*años+gracia-B301&gt;0,$L$2&lt;&gt;1),F302-G302,0)</f>
        <v>-14.853231422198018</v>
      </c>
      <c r="I302" s="62"/>
      <c r="J302" s="61">
        <f>J301-H302-I302</f>
        <v>-1782.3472214137814</v>
      </c>
      <c r="K302" s="61">
        <f>K301*(1+$J$17)^(1/12)</f>
        <v>17101.906903755735</v>
      </c>
      <c r="L302" s="31">
        <f t="shared" si="43"/>
        <v>16</v>
      </c>
      <c r="M302" s="31">
        <f t="shared" si="44"/>
        <v>-2.6666666666666661</v>
      </c>
      <c r="N302" s="31">
        <f t="shared" si="45"/>
        <v>-2.35</v>
      </c>
      <c r="O302" s="62"/>
      <c r="P302" s="31">
        <f>O302+N302+M302+L302+I302+F302</f>
        <v>-10.186326370998273</v>
      </c>
      <c r="Q302" s="31">
        <f>SUM($P$36:P302)</f>
        <v>-3203.7848564595693</v>
      </c>
      <c r="R302" s="83">
        <f t="shared" si="46"/>
        <v>-0.18753747826633191</v>
      </c>
      <c r="S302" s="31">
        <f>SUMPRODUCT($P$36:P302,$D$36:D302)/D302-Q302</f>
        <v>-3024.3929633092298</v>
      </c>
      <c r="T302" s="31">
        <f t="shared" si="40"/>
        <v>12115.774825882385</v>
      </c>
      <c r="U302" s="31">
        <f t="shared" si="41"/>
        <v>12737.014825882385</v>
      </c>
      <c r="V302" s="80" cm="1">
        <f t="array" ref="V302">IF($L$2&lt;&gt;1,IRR(IF(ROW($P$36:P302)=ROW(P302),P302+K302+J302,$P$36:P302),V301/12)*12,0)</f>
        <v>0.10354962455559669</v>
      </c>
      <c r="W302" s="83">
        <f>(1+V302/12)^(B302)-1</f>
        <v>8.8306314969426545</v>
      </c>
    </row>
    <row r="303" spans="2:23" x14ac:dyDescent="0.25">
      <c r="B303" s="33">
        <v>267</v>
      </c>
      <c r="C303" s="105">
        <f t="shared" si="39"/>
        <v>3.9789301544717048E-3</v>
      </c>
      <c r="D303" s="106">
        <f t="shared" si="42"/>
        <v>0.34636353221257943</v>
      </c>
      <c r="E303" s="60">
        <f>rate</f>
        <v>3.5145930840192463E-3</v>
      </c>
      <c r="F303" s="31">
        <f>IF(AND(B302&gt;=gracia,12*años+gracia-B302&gt;0,$L$2&lt;&gt;1),PMT(E302,12*años-B302+gracia,-J302),0)</f>
        <v>-21.169659704331604</v>
      </c>
      <c r="G303" s="31">
        <f>IF(AND(12*años+gracia-B302&gt;0,$L$2&lt;&gt;1),J302*E303,0)</f>
        <v>-6.2642252177017967</v>
      </c>
      <c r="H303" s="31">
        <f>IF(AND(12*años+gracia-B302&gt;0,$L$2&lt;&gt;1),F303-G303,0)</f>
        <v>-14.905434486629808</v>
      </c>
      <c r="I303" s="62"/>
      <c r="J303" s="61">
        <f>J302-H303-I303</f>
        <v>-1767.4417869271517</v>
      </c>
      <c r="K303" s="61">
        <f>K302*(1+$J$17)^(1/12)</f>
        <v>17185.151300373556</v>
      </c>
      <c r="L303" s="31">
        <f t="shared" si="43"/>
        <v>16</v>
      </c>
      <c r="M303" s="31">
        <f t="shared" si="44"/>
        <v>-2.6666666666666661</v>
      </c>
      <c r="N303" s="31">
        <f t="shared" si="45"/>
        <v>-2.35</v>
      </c>
      <c r="O303" s="62"/>
      <c r="P303" s="31">
        <f>O303+N303+M303+L303+I303+F303</f>
        <v>-10.18632637099827</v>
      </c>
      <c r="Q303" s="31">
        <f>SUM($P$36:P303)</f>
        <v>-3213.9711828305676</v>
      </c>
      <c r="R303" s="83">
        <f t="shared" si="46"/>
        <v>-0.18757202397167008</v>
      </c>
      <c r="S303" s="31">
        <f>SUMPRODUCT($P$36:P303,$D$36:D303)/D303-Q303</f>
        <v>-3049.1744478437199</v>
      </c>
      <c r="T303" s="31">
        <f t="shared" si="40"/>
        <v>12203.738330615837</v>
      </c>
      <c r="U303" s="31">
        <f t="shared" si="41"/>
        <v>12824.978330615837</v>
      </c>
      <c r="V303" s="80" cm="1">
        <f t="array" ref="V303">IF($L$2&lt;&gt;1,IRR(IF(ROW($P$36:P303)=ROW(P303),P303+K303+J303,$P$36:P303),V302/12)*12,0)</f>
        <v>0.10338297882097169</v>
      </c>
      <c r="W303" s="83">
        <f>(1+V303/12)^(B303)-1</f>
        <v>8.8790773339933509</v>
      </c>
    </row>
    <row r="304" spans="2:23" x14ac:dyDescent="0.25">
      <c r="B304" s="33">
        <v>268</v>
      </c>
      <c r="C304" s="105">
        <f t="shared" si="39"/>
        <v>3.9789301544717048E-3</v>
      </c>
      <c r="D304" s="106">
        <f t="shared" si="42"/>
        <v>0.34499083776517908</v>
      </c>
      <c r="E304" s="60">
        <f>rate</f>
        <v>3.5145930840192463E-3</v>
      </c>
      <c r="F304" s="31">
        <f>IF(AND(B303&gt;=gracia,12*años+gracia-B303&gt;0,$L$2&lt;&gt;1),PMT(E303,12*años-B303+gracia,-J303),0)</f>
        <v>-21.169659704331604</v>
      </c>
      <c r="G304" s="31">
        <f>IF(AND(12*años+gracia-B303&gt;0,$L$2&lt;&gt;1),J303*E304,0)</f>
        <v>-6.2118386807407857</v>
      </c>
      <c r="H304" s="31">
        <f>IF(AND(12*años+gracia-B303&gt;0,$L$2&lt;&gt;1),F304-G304,0)</f>
        <v>-14.957821023590817</v>
      </c>
      <c r="I304" s="62"/>
      <c r="J304" s="61">
        <f>J303-H304-I304</f>
        <v>-1752.4839659035608</v>
      </c>
      <c r="K304" s="61">
        <f>K303*(1+$J$17)^(1/12)</f>
        <v>17268.800893301195</v>
      </c>
      <c r="L304" s="31">
        <f t="shared" si="43"/>
        <v>16</v>
      </c>
      <c r="M304" s="31">
        <f t="shared" si="44"/>
        <v>-2.6666666666666661</v>
      </c>
      <c r="N304" s="31">
        <f t="shared" si="45"/>
        <v>-2.35</v>
      </c>
      <c r="O304" s="62"/>
      <c r="P304" s="31">
        <f>O304+N304+M304+L304+I304+F304</f>
        <v>-10.18632637099827</v>
      </c>
      <c r="Q304" s="31">
        <f>SUM($P$36:P304)</f>
        <v>-3224.157509201566</v>
      </c>
      <c r="R304" s="83">
        <f t="shared" si="46"/>
        <v>-0.18760631187323706</v>
      </c>
      <c r="S304" s="31">
        <f>SUMPRODUCT($P$36:P304,$D$36:D304)/D304-Q304</f>
        <v>-3074.0950668554574</v>
      </c>
      <c r="T304" s="31">
        <f t="shared" si="40"/>
        <v>12292.159418196068</v>
      </c>
      <c r="U304" s="31">
        <f t="shared" si="41"/>
        <v>12913.399418196068</v>
      </c>
      <c r="V304" s="80" cm="1">
        <f t="array" ref="V304">IF($L$2&lt;&gt;1,IRR(IF(ROW($P$36:P304)=ROW(P304),P304+K304+J304,$P$36:P304),V303/12)*12,0)</f>
        <v>0.10321737167454881</v>
      </c>
      <c r="W304" s="83">
        <f>(1+V304/12)^(B304)-1</f>
        <v>8.9277163428291431</v>
      </c>
    </row>
    <row r="305" spans="2:23" x14ac:dyDescent="0.25">
      <c r="B305" s="33">
        <v>269</v>
      </c>
      <c r="C305" s="105">
        <f t="shared" si="39"/>
        <v>3.9789301544717048E-3</v>
      </c>
      <c r="D305" s="106">
        <f t="shared" si="42"/>
        <v>0.34362358352689631</v>
      </c>
      <c r="E305" s="60">
        <f>rate</f>
        <v>3.5145930840192463E-3</v>
      </c>
      <c r="F305" s="31">
        <f>IF(AND(B304&gt;=gracia,12*años+gracia-B304&gt;0,$L$2&lt;&gt;1),PMT(E304,12*años-B304+gracia,-J304),0)</f>
        <v>-21.169659704331607</v>
      </c>
      <c r="G305" s="31">
        <f>IF(AND(12*años+gracia-B304&gt;0,$L$2&lt;&gt;1),J304*E305,0)</f>
        <v>-6.1592680264192756</v>
      </c>
      <c r="H305" s="31">
        <f>IF(AND(12*años+gracia-B304&gt;0,$L$2&lt;&gt;1),F305-G305,0)</f>
        <v>-15.010391677912331</v>
      </c>
      <c r="I305" s="62"/>
      <c r="J305" s="61">
        <f>J304-H305-I305</f>
        <v>-1737.4735742256485</v>
      </c>
      <c r="K305" s="61">
        <f>K304*(1+$J$17)^(1/12)</f>
        <v>17352.857654852181</v>
      </c>
      <c r="L305" s="31">
        <f t="shared" si="43"/>
        <v>16</v>
      </c>
      <c r="M305" s="31">
        <f t="shared" si="44"/>
        <v>-2.6666666666666661</v>
      </c>
      <c r="N305" s="31">
        <f t="shared" si="45"/>
        <v>-2.35</v>
      </c>
      <c r="O305" s="62"/>
      <c r="P305" s="31">
        <f>O305+N305+M305+L305+I305+F305</f>
        <v>-10.186326370998273</v>
      </c>
      <c r="Q305" s="31">
        <f>SUM($P$36:P305)</f>
        <v>-3234.3438355725643</v>
      </c>
      <c r="R305" s="83">
        <f t="shared" si="46"/>
        <v>-0.1876403448461679</v>
      </c>
      <c r="S305" s="31">
        <f>SUMPRODUCT($P$36:P305,$D$36:D305)/D305-Q305</f>
        <v>-3099.1553739508095</v>
      </c>
      <c r="T305" s="31">
        <f t="shared" si="40"/>
        <v>12381.04024505397</v>
      </c>
      <c r="U305" s="31">
        <f t="shared" si="41"/>
        <v>13002.280245053969</v>
      </c>
      <c r="V305" s="80" cm="1">
        <f t="array" ref="V305">IF($L$2&lt;&gt;1,IRR(IF(ROW($P$36:P305)=ROW(P305),P305+K305+J305,$P$36:P305),V304/12)*12,0)</f>
        <v>0.10305279380821908</v>
      </c>
      <c r="W305" s="83">
        <f>(1+V305/12)^(B305)-1</f>
        <v>8.9765495349883189</v>
      </c>
    </row>
    <row r="306" spans="2:23" x14ac:dyDescent="0.25">
      <c r="B306" s="33">
        <v>270</v>
      </c>
      <c r="C306" s="105">
        <f t="shared" si="39"/>
        <v>3.9789301544717048E-3</v>
      </c>
      <c r="D306" s="106">
        <f t="shared" si="42"/>
        <v>0.34226174793730635</v>
      </c>
      <c r="E306" s="60">
        <f>rate</f>
        <v>3.5145930840192463E-3</v>
      </c>
      <c r="F306" s="31">
        <f>IF(AND(B305&gt;=gracia,12*años+gracia-B305&gt;0,$L$2&lt;&gt;1),PMT(E305,12*años-B305+gracia,-J305),0)</f>
        <v>-21.169659704331604</v>
      </c>
      <c r="G306" s="31">
        <f>IF(AND(12*años+gracia-B305&gt;0,$L$2&lt;&gt;1),J305*E306,0)</f>
        <v>-6.1065126076396643</v>
      </c>
      <c r="H306" s="31">
        <f>IF(AND(12*años+gracia-B305&gt;0,$L$2&lt;&gt;1),F306-G306,0)</f>
        <v>-15.063147096691939</v>
      </c>
      <c r="I306" s="62"/>
      <c r="J306" s="61">
        <f>J305-H306-I306</f>
        <v>-1722.4104271289566</v>
      </c>
      <c r="K306" s="61">
        <f>K305*(1+$J$17)^(1/12)</f>
        <v>17437.323566940373</v>
      </c>
      <c r="L306" s="31">
        <f t="shared" si="43"/>
        <v>16</v>
      </c>
      <c r="M306" s="31">
        <f t="shared" si="44"/>
        <v>-2.6666666666666661</v>
      </c>
      <c r="N306" s="31">
        <f t="shared" si="45"/>
        <v>-2.35</v>
      </c>
      <c r="O306" s="62"/>
      <c r="P306" s="31">
        <f>O306+N306+M306+L306+I306+F306</f>
        <v>-10.18632637099827</v>
      </c>
      <c r="Q306" s="31">
        <f>SUM($P$36:P306)</f>
        <v>-3244.5301619435627</v>
      </c>
      <c r="R306" s="83">
        <f t="shared" si="46"/>
        <v>-0.1876741257230029</v>
      </c>
      <c r="S306" s="31">
        <f>SUMPRODUCT($P$36:P306,$D$36:D306)/D306-Q306</f>
        <v>-3124.355924938905</v>
      </c>
      <c r="T306" s="31">
        <f t="shared" si="40"/>
        <v>12470.382977867854</v>
      </c>
      <c r="U306" s="31">
        <f t="shared" si="41"/>
        <v>13091.622977867853</v>
      </c>
      <c r="V306" s="80" cm="1">
        <f t="array" ref="V306">IF($L$2&lt;&gt;1,IRR(IF(ROW($P$36:P306)=ROW(P306),P306+K306+J306,$P$36:P306),V305/12)*12,0)</f>
        <v>0.10288923602374567</v>
      </c>
      <c r="W306" s="83">
        <f>(1+V306/12)^(B306)-1</f>
        <v>9.0255779255015423</v>
      </c>
    </row>
    <row r="307" spans="2:23" x14ac:dyDescent="0.25">
      <c r="B307" s="33">
        <v>271</v>
      </c>
      <c r="C307" s="105">
        <f t="shared" si="39"/>
        <v>3.9789301544717048E-3</v>
      </c>
      <c r="D307" s="106">
        <f t="shared" si="42"/>
        <v>0.340905309521432</v>
      </c>
      <c r="E307" s="60">
        <f>rate</f>
        <v>3.5145930840192463E-3</v>
      </c>
      <c r="F307" s="31">
        <f>IF(AND(B306&gt;=gracia,12*años+gracia-B306&gt;0,$L$2&lt;&gt;1),PMT(E306,12*años-B306+gracia,-J306),0)</f>
        <v>-21.169659704331604</v>
      </c>
      <c r="G307" s="31">
        <f>IF(AND(12*años+gracia-B306&gt;0,$L$2&lt;&gt;1),J306*E307,0)</f>
        <v>-6.0535717750300666</v>
      </c>
      <c r="H307" s="31">
        <f>IF(AND(12*años+gracia-B306&gt;0,$L$2&lt;&gt;1),F307-G307,0)</f>
        <v>-15.116087929301537</v>
      </c>
      <c r="I307" s="62"/>
      <c r="J307" s="61">
        <f>J306-H307-I307</f>
        <v>-1707.294339199655</v>
      </c>
      <c r="K307" s="61">
        <f>K306*(1+$J$17)^(1/12)</f>
        <v>17522.200621126703</v>
      </c>
      <c r="L307" s="31">
        <f t="shared" si="43"/>
        <v>16</v>
      </c>
      <c r="M307" s="31">
        <f t="shared" si="44"/>
        <v>-2.6666666666666661</v>
      </c>
      <c r="N307" s="31">
        <f t="shared" si="45"/>
        <v>-2.35</v>
      </c>
      <c r="O307" s="62"/>
      <c r="P307" s="31">
        <f>O307+N307+M307+L307+I307+F307</f>
        <v>-10.18632637099827</v>
      </c>
      <c r="Q307" s="31">
        <f>SUM($P$36:P307)</f>
        <v>-3254.716488314561</v>
      </c>
      <c r="R307" s="83">
        <f t="shared" si="46"/>
        <v>-0.18770765729447386</v>
      </c>
      <c r="S307" s="31">
        <f>SUMPRODUCT($P$36:P307,$D$36:D307)/D307-Q307</f>
        <v>-3149.6972778403965</v>
      </c>
      <c r="T307" s="31">
        <f t="shared" si="40"/>
        <v>12560.189793612488</v>
      </c>
      <c r="U307" s="31">
        <f t="shared" si="41"/>
        <v>13181.429793612488</v>
      </c>
      <c r="V307" s="80" cm="1">
        <f t="array" ref="V307">IF($L$2&lt;&gt;1,IRR(IF(ROW($P$36:P307)=ROW(P307),P307+K307+J307,$P$36:P307),V306/12)*12,0)</f>
        <v>0.10272668923114647</v>
      </c>
      <c r="W307" s="83">
        <f>(1+V307/12)^(B307)-1</f>
        <v>9.0748025329204118</v>
      </c>
    </row>
    <row r="308" spans="2:23" x14ac:dyDescent="0.25">
      <c r="B308" s="33">
        <v>272</v>
      </c>
      <c r="C308" s="105">
        <f t="shared" si="39"/>
        <v>3.9789301544717048E-3</v>
      </c>
      <c r="D308" s="106">
        <f t="shared" si="42"/>
        <v>0.33955424688940483</v>
      </c>
      <c r="E308" s="60">
        <f>rate</f>
        <v>3.5145930840192463E-3</v>
      </c>
      <c r="F308" s="31">
        <f>IF(AND(B307&gt;=gracia,12*años+gracia-B307&gt;0,$L$2&lt;&gt;1),PMT(E307,12*años-B307+gracia,-J307),0)</f>
        <v>-21.169659704331604</v>
      </c>
      <c r="G308" s="31">
        <f>IF(AND(12*años+gracia-B307&gt;0,$L$2&lt;&gt;1),J307*E308,0)</f>
        <v>-6.0004448769363172</v>
      </c>
      <c r="H308" s="31">
        <f>IF(AND(12*años+gracia-B307&gt;0,$L$2&lt;&gt;1),F308-G308,0)</f>
        <v>-15.169214827395287</v>
      </c>
      <c r="I308" s="62"/>
      <c r="J308" s="61">
        <f>J307-H308-I308</f>
        <v>-1692.1251243722597</v>
      </c>
      <c r="K308" s="61">
        <f>K307*(1+$J$17)^(1/12)</f>
        <v>17607.490818666123</v>
      </c>
      <c r="L308" s="31">
        <f t="shared" si="43"/>
        <v>16</v>
      </c>
      <c r="M308" s="31">
        <f t="shared" si="44"/>
        <v>-2.6666666666666661</v>
      </c>
      <c r="N308" s="31">
        <f t="shared" si="45"/>
        <v>-2.35</v>
      </c>
      <c r="O308" s="62"/>
      <c r="P308" s="31">
        <f>O308+N308+M308+L308+I308+F308</f>
        <v>-10.18632637099827</v>
      </c>
      <c r="Q308" s="31">
        <f>SUM($P$36:P308)</f>
        <v>-3264.9028146855594</v>
      </c>
      <c r="R308" s="83">
        <f t="shared" si="46"/>
        <v>-0.18774094231027219</v>
      </c>
      <c r="S308" s="31">
        <f>SUMPRODUCT($P$36:P308,$D$36:D308)/D308-Q308</f>
        <v>-3175.1799928962641</v>
      </c>
      <c r="T308" s="31">
        <f t="shared" si="40"/>
        <v>12650.462879608305</v>
      </c>
      <c r="U308" s="31">
        <f t="shared" si="41"/>
        <v>13271.702879608305</v>
      </c>
      <c r="V308" s="80" cm="1">
        <f t="array" ref="V308">IF($L$2&lt;&gt;1,IRR(IF(ROW($P$36:P308)=ROW(P308),P308+K308+J308,$P$36:P308),V307/12)*12,0)</f>
        <v>0.10256514444711673</v>
      </c>
      <c r="W308" s="83">
        <f>(1+V308/12)^(B308)-1</f>
        <v>9.1242243793471989</v>
      </c>
    </row>
    <row r="309" spans="2:23" x14ac:dyDescent="0.25">
      <c r="B309" s="33">
        <v>273</v>
      </c>
      <c r="C309" s="105">
        <f t="shared" si="39"/>
        <v>3.9789301544717048E-3</v>
      </c>
      <c r="D309" s="106">
        <f t="shared" si="42"/>
        <v>0.33820853873612783</v>
      </c>
      <c r="E309" s="60">
        <f>rate</f>
        <v>3.5145930840192463E-3</v>
      </c>
      <c r="F309" s="31">
        <f>IF(AND(B308&gt;=gracia,12*años+gracia-B308&gt;0,$L$2&lt;&gt;1),PMT(E308,12*años-B308+gracia,-J308),0)</f>
        <v>-21.169659704331604</v>
      </c>
      <c r="G309" s="31">
        <f>IF(AND(12*años+gracia-B308&gt;0,$L$2&lt;&gt;1),J308*E309,0)</f>
        <v>-5.9471312594139514</v>
      </c>
      <c r="H309" s="31">
        <f>IF(AND(12*años+gracia-B308&gt;0,$L$2&lt;&gt;1),F309-G309,0)</f>
        <v>-15.222528444917653</v>
      </c>
      <c r="I309" s="62"/>
      <c r="J309" s="61">
        <f>J308-H309-I309</f>
        <v>-1676.9025959273422</v>
      </c>
      <c r="K309" s="61">
        <f>K308*(1+$J$17)^(1/12)</f>
        <v>17693.196170554795</v>
      </c>
      <c r="L309" s="31">
        <f t="shared" si="43"/>
        <v>16</v>
      </c>
      <c r="M309" s="31">
        <f t="shared" si="44"/>
        <v>-2.6666666666666661</v>
      </c>
      <c r="N309" s="31">
        <f t="shared" si="45"/>
        <v>-2.35</v>
      </c>
      <c r="O309" s="62"/>
      <c r="P309" s="31">
        <f>O309+N309+M309+L309+I309+F309</f>
        <v>-10.18632637099827</v>
      </c>
      <c r="Q309" s="31">
        <f>SUM($P$36:P309)</f>
        <v>-3275.0891410565578</v>
      </c>
      <c r="R309" s="83">
        <f t="shared" si="46"/>
        <v>-0.18777398347980095</v>
      </c>
      <c r="S309" s="31">
        <f>SUMPRODUCT($P$36:P309,$D$36:D309)/D309-Q309</f>
        <v>-3200.8046325766468</v>
      </c>
      <c r="T309" s="31">
        <f t="shared" si="40"/>
        <v>12741.204433570894</v>
      </c>
      <c r="U309" s="31">
        <f t="shared" si="41"/>
        <v>13362.444433570894</v>
      </c>
      <c r="V309" s="80" cm="1">
        <f t="array" ref="V309">IF($L$2&lt;&gt;1,IRR(IF(ROW($P$36:P309)=ROW(P309),P309+K309+J309,$P$36:P309),V308/12)*12,0)</f>
        <v>0.10240459279351555</v>
      </c>
      <c r="W309" s="83">
        <f>(1+V309/12)^(B309)-1</f>
        <v>9.1738444904727157</v>
      </c>
    </row>
    <row r="310" spans="2:23" x14ac:dyDescent="0.25">
      <c r="B310" s="33">
        <v>274</v>
      </c>
      <c r="C310" s="105">
        <f t="shared" si="39"/>
        <v>3.9789301544717048E-3</v>
      </c>
      <c r="D310" s="106">
        <f t="shared" si="42"/>
        <v>0.33686816384093959</v>
      </c>
      <c r="E310" s="60">
        <f>rate</f>
        <v>3.5145930840192463E-3</v>
      </c>
      <c r="F310" s="31">
        <f>IF(AND(B309&gt;=gracia,12*años+gracia-B309&gt;0,$L$2&lt;&gt;1),PMT(E309,12*años-B309+gracia,-J309),0)</f>
        <v>-21.169659704331611</v>
      </c>
      <c r="G310" s="31">
        <f>IF(AND(12*años+gracia-B309&gt;0,$L$2&lt;&gt;1),J309*E310,0)</f>
        <v>-5.8936302662201578</v>
      </c>
      <c r="H310" s="31">
        <f>IF(AND(12*años+gracia-B309&gt;0,$L$2&lt;&gt;1),F310-G310,0)</f>
        <v>-15.276029438111454</v>
      </c>
      <c r="I310" s="62"/>
      <c r="J310" s="61">
        <f>J309-H310-I310</f>
        <v>-1661.6265664892308</v>
      </c>
      <c r="K310" s="61">
        <f>K309*(1+$J$17)^(1/12)</f>
        <v>17779.318697577502</v>
      </c>
      <c r="L310" s="31">
        <f t="shared" si="43"/>
        <v>16</v>
      </c>
      <c r="M310" s="31">
        <f t="shared" si="44"/>
        <v>-2.6666666666666661</v>
      </c>
      <c r="N310" s="31">
        <f t="shared" si="45"/>
        <v>-2.35</v>
      </c>
      <c r="O310" s="62"/>
      <c r="P310" s="31">
        <f>O310+N310+M310+L310+I310+F310</f>
        <v>-10.186326370998277</v>
      </c>
      <c r="Q310" s="31">
        <f>SUM($P$36:P310)</f>
        <v>-3285.2754674275561</v>
      </c>
      <c r="R310" s="83">
        <f t="shared" si="46"/>
        <v>-0.18780678347290977</v>
      </c>
      <c r="S310" s="31">
        <f>SUMPRODUCT($P$36:P310,$D$36:D310)/D310-Q310</f>
        <v>-3226.5717615897115</v>
      </c>
      <c r="T310" s="31">
        <f t="shared" si="40"/>
        <v>12832.416663660715</v>
      </c>
      <c r="U310" s="31">
        <f t="shared" si="41"/>
        <v>13453.656663660715</v>
      </c>
      <c r="V310" s="80" cm="1">
        <f t="array" ref="V310">IF($L$2&lt;&gt;1,IRR(IF(ROW($P$36:P310)=ROW(P310),P310+K310+J310,$P$36:P310),V309/12)*12,0)</f>
        <v>0.10224502549581249</v>
      </c>
      <c r="W310" s="83">
        <f>(1+V310/12)^(B310)-1</f>
        <v>9.2236638955995804</v>
      </c>
    </row>
    <row r="311" spans="2:23" x14ac:dyDescent="0.25">
      <c r="B311" s="33">
        <v>275</v>
      </c>
      <c r="C311" s="105">
        <f t="shared" si="39"/>
        <v>3.9789301544717048E-3</v>
      </c>
      <c r="D311" s="106">
        <f t="shared" si="42"/>
        <v>0.33553310106727957</v>
      </c>
      <c r="E311" s="60">
        <f>rate</f>
        <v>3.5145930840192463E-3</v>
      </c>
      <c r="F311" s="31">
        <f>IF(AND(B310&gt;=gracia,12*años+gracia-B310&gt;0,$L$2&lt;&gt;1),PMT(E310,12*años-B310+gracia,-J310),0)</f>
        <v>-21.169659704331604</v>
      </c>
      <c r="G311" s="31">
        <f>IF(AND(12*años+gracia-B310&gt;0,$L$2&lt;&gt;1),J310*E311,0)</f>
        <v>-5.8399412388056966</v>
      </c>
      <c r="H311" s="31">
        <f>IF(AND(12*años+gracia-B310&gt;0,$L$2&lt;&gt;1),F311-G311,0)</f>
        <v>-15.329718465525907</v>
      </c>
      <c r="I311" s="62"/>
      <c r="J311" s="61">
        <f>J310-H311-I311</f>
        <v>-1646.2968480237048</v>
      </c>
      <c r="K311" s="61">
        <f>K310*(1+$J$17)^(1/12)</f>
        <v>17865.860430355311</v>
      </c>
      <c r="L311" s="31">
        <f t="shared" si="43"/>
        <v>16</v>
      </c>
      <c r="M311" s="31">
        <f t="shared" si="44"/>
        <v>-2.6666666666666661</v>
      </c>
      <c r="N311" s="31">
        <f t="shared" si="45"/>
        <v>-2.35</v>
      </c>
      <c r="O311" s="62"/>
      <c r="P311" s="31">
        <f>O311+N311+M311+L311+I311+F311</f>
        <v>-10.18632637099827</v>
      </c>
      <c r="Q311" s="31">
        <f>SUM($P$36:P311)</f>
        <v>-3295.4617937985545</v>
      </c>
      <c r="R311" s="83">
        <f t="shared" si="46"/>
        <v>-0.18783934492061422</v>
      </c>
      <c r="S311" s="31">
        <f>SUMPRODUCT($P$36:P311,$D$36:D311)/D311-Q311</f>
        <v>-3252.4819468905612</v>
      </c>
      <c r="T311" s="31">
        <f t="shared" si="40"/>
        <v>12924.101788533051</v>
      </c>
      <c r="U311" s="31">
        <f t="shared" si="41"/>
        <v>13545.341788533051</v>
      </c>
      <c r="V311" s="80" cm="1">
        <f t="array" ref="V311">IF($L$2&lt;&gt;1,IRR(IF(ROW($P$36:P311)=ROW(P311),P311+K311+J311,$P$36:P311),V310/12)*12,0)</f>
        <v>0.10208643388160077</v>
      </c>
      <c r="W311" s="83">
        <f>(1+V311/12)^(B311)-1</f>
        <v>9.2736836276758599</v>
      </c>
    </row>
    <row r="312" spans="2:23" x14ac:dyDescent="0.25">
      <c r="B312" s="33">
        <v>276</v>
      </c>
      <c r="C312" s="105">
        <f t="shared" si="39"/>
        <v>3.9789301544717048E-3</v>
      </c>
      <c r="D312" s="106">
        <f t="shared" si="42"/>
        <v>0.33420332936235486</v>
      </c>
      <c r="E312" s="60">
        <f>rate</f>
        <v>3.5145930840192463E-3</v>
      </c>
      <c r="F312" s="31">
        <f>IF(AND(B311&gt;=gracia,12*años+gracia-B311&gt;0,$L$2&lt;&gt;1),PMT(E311,12*años-B311+gracia,-J311),0)</f>
        <v>-21.169659704331604</v>
      </c>
      <c r="G312" s="31">
        <f>IF(AND(12*años+gracia-B311&gt;0,$L$2&lt;&gt;1),J311*E312,0)</f>
        <v>-5.7860635163067968</v>
      </c>
      <c r="H312" s="31">
        <f>IF(AND(12*años+gracia-B311&gt;0,$L$2&lt;&gt;1),F312-G312,0)</f>
        <v>-15.383596188024807</v>
      </c>
      <c r="I312" s="62"/>
      <c r="J312" s="61">
        <f>J311-H312-I312</f>
        <v>-1630.9132518356801</v>
      </c>
      <c r="K312" s="61">
        <f>K311*(1+$J$17)^(1/12)</f>
        <v>17952.823409393426</v>
      </c>
      <c r="L312" s="31">
        <f t="shared" si="43"/>
        <v>16</v>
      </c>
      <c r="M312" s="31">
        <f t="shared" si="44"/>
        <v>-2.6666666666666661</v>
      </c>
      <c r="N312" s="31">
        <f t="shared" si="45"/>
        <v>-2.35</v>
      </c>
      <c r="O312" s="62"/>
      <c r="P312" s="31">
        <f>O312+N312+M312+L312+I312+F312</f>
        <v>-10.18632637099827</v>
      </c>
      <c r="Q312" s="31">
        <f>SUM($P$36:P312)</f>
        <v>-3305.6481201695528</v>
      </c>
      <c r="R312" s="83">
        <f t="shared" si="46"/>
        <v>-0.18787167041579902</v>
      </c>
      <c r="S312" s="31">
        <f>SUMPRODUCT($P$36:P312,$D$36:D312)/D312-Q312</f>
        <v>-3278.5357576901738</v>
      </c>
      <c r="T312" s="31">
        <f t="shared" si="40"/>
        <v>13016.262037388193</v>
      </c>
      <c r="U312" s="31">
        <f t="shared" si="41"/>
        <v>13637.502037388193</v>
      </c>
      <c r="V312" s="80" cm="1">
        <f t="array" ref="V312">IF($L$2&lt;&gt;1,IRR(IF(ROW($P$36:P312)=ROW(P312),P312+K312+J312,$P$36:P312),V311/12)*12,0)</f>
        <v>0.10192880937914506</v>
      </c>
      <c r="W312" s="83">
        <f>(1+V312/12)^(B312)-1</f>
        <v>9.3239047233275816</v>
      </c>
    </row>
    <row r="313" spans="2:23" x14ac:dyDescent="0.25">
      <c r="B313" s="33">
        <v>277</v>
      </c>
      <c r="C313" s="105">
        <f t="shared" si="39"/>
        <v>3.9789301544717048E-3</v>
      </c>
      <c r="D313" s="106">
        <f t="shared" si="42"/>
        <v>0.3328788277568081</v>
      </c>
      <c r="E313" s="60">
        <f>rate</f>
        <v>3.5145930840192463E-3</v>
      </c>
      <c r="F313" s="31">
        <f>IF(AND(B312&gt;=gracia,12*años+gracia-B312&gt;0,$L$2&lt;&gt;1),PMT(E312,12*años-B312+gracia,-J312),0)</f>
        <v>-21.169659704331604</v>
      </c>
      <c r="G313" s="31">
        <f>IF(AND(12*años+gracia-B312&gt;0,$L$2&lt;&gt;1),J312*E313,0)</f>
        <v>-5.7319964355370203</v>
      </c>
      <c r="H313" s="31">
        <f>IF(AND(12*años+gracia-B312&gt;0,$L$2&lt;&gt;1),F313-G313,0)</f>
        <v>-15.437663268794584</v>
      </c>
      <c r="I313" s="62"/>
      <c r="J313" s="61">
        <f>J312-H313-I313</f>
        <v>-1615.4755885668856</v>
      </c>
      <c r="K313" s="61">
        <f>K312*(1+$J$17)^(1/12)</f>
        <v>18040.209685129324</v>
      </c>
      <c r="L313" s="31">
        <f t="shared" si="43"/>
        <v>16</v>
      </c>
      <c r="M313" s="31">
        <f t="shared" si="44"/>
        <v>-2.6666666666666661</v>
      </c>
      <c r="N313" s="31">
        <f t="shared" si="45"/>
        <v>-2.35</v>
      </c>
      <c r="O313" s="62"/>
      <c r="P313" s="31">
        <f>O313+N313+M313+L313+I313+F313</f>
        <v>-10.18632637099827</v>
      </c>
      <c r="Q313" s="31">
        <f>SUM($P$36:P313)</f>
        <v>-3315.8344465405512</v>
      </c>
      <c r="R313" s="83">
        <f t="shared" si="46"/>
        <v>-0.1879037625139067</v>
      </c>
      <c r="S313" s="31">
        <f>SUMPRODUCT($P$36:P313,$D$36:D313)/D313-Q313</f>
        <v>-3304.7337654643766</v>
      </c>
      <c r="T313" s="31">
        <f t="shared" si="40"/>
        <v>13108.899650021887</v>
      </c>
      <c r="U313" s="31">
        <f t="shared" si="41"/>
        <v>13730.139650021887</v>
      </c>
      <c r="V313" s="80" cm="1">
        <f t="array" ref="V313">IF($L$2&lt;&gt;1,IRR(IF(ROW($P$36:P313)=ROW(P313),P313+K313+J313,$P$36:P313),V312/12)*12,0)</f>
        <v>0.10177214351591601</v>
      </c>
      <c r="W313" s="83">
        <f>(1+V313/12)^(B313)-1</f>
        <v>9.3743282228858291</v>
      </c>
    </row>
    <row r="314" spans="2:23" x14ac:dyDescent="0.25">
      <c r="B314" s="33">
        <v>278</v>
      </c>
      <c r="C314" s="105">
        <f t="shared" si="39"/>
        <v>3.9789301544717048E-3</v>
      </c>
      <c r="D314" s="106">
        <f t="shared" si="42"/>
        <v>0.3315595753643869</v>
      </c>
      <c r="E314" s="60">
        <f>rate</f>
        <v>3.5145930840192463E-3</v>
      </c>
      <c r="F314" s="31">
        <f>IF(AND(B313&gt;=gracia,12*años+gracia-B313&gt;0,$L$2&lt;&gt;1),PMT(E313,12*años-B313+gracia,-J313),0)</f>
        <v>-21.169659704331607</v>
      </c>
      <c r="G314" s="31">
        <f>IF(AND(12*años+gracia-B313&gt;0,$L$2&lt;&gt;1),J313*E314,0)</f>
        <v>-5.6777393309790973</v>
      </c>
      <c r="H314" s="31">
        <f>IF(AND(12*años+gracia-B313&gt;0,$L$2&lt;&gt;1),F314-G314,0)</f>
        <v>-15.49192037335251</v>
      </c>
      <c r="I314" s="62"/>
      <c r="J314" s="61">
        <f>J313-H314-I314</f>
        <v>-1599.983668193533</v>
      </c>
      <c r="K314" s="61">
        <f>K313*(1+$J$17)^(1/12)</f>
        <v>18128.021317981082</v>
      </c>
      <c r="L314" s="31">
        <f t="shared" si="43"/>
        <v>16</v>
      </c>
      <c r="M314" s="31">
        <f t="shared" si="44"/>
        <v>-2.6666666666666661</v>
      </c>
      <c r="N314" s="31">
        <f t="shared" si="45"/>
        <v>-2.35</v>
      </c>
      <c r="O314" s="62"/>
      <c r="P314" s="31">
        <f>O314+N314+M314+L314+I314+F314</f>
        <v>-10.186326370998273</v>
      </c>
      <c r="Q314" s="31">
        <f>SUM($P$36:P314)</f>
        <v>-3326.0207729115496</v>
      </c>
      <c r="R314" s="83">
        <f t="shared" si="46"/>
        <v>-0.18793562373361072</v>
      </c>
      <c r="S314" s="31">
        <f>SUMPRODUCT($P$36:P314,$D$36:D314)/D314-Q314</f>
        <v>-3331.076543962859</v>
      </c>
      <c r="T314" s="31">
        <f t="shared" si="40"/>
        <v>13202.016876876</v>
      </c>
      <c r="U314" s="31">
        <f t="shared" si="41"/>
        <v>13823.256876875999</v>
      </c>
      <c r="V314" s="80" cm="1">
        <f t="array" ref="V314">IF($L$2&lt;&gt;1,IRR(IF(ROW($P$36:P314)=ROW(P314),P314+K314+J314,$P$36:P314),V313/12)*12,0)</f>
        <v>0.10161642791718073</v>
      </c>
      <c r="W314" s="83">
        <f>(1+V314/12)^(B314)-1</f>
        <v>9.4249551704194925</v>
      </c>
    </row>
    <row r="315" spans="2:23" x14ac:dyDescent="0.25">
      <c r="B315" s="33">
        <v>279</v>
      </c>
      <c r="C315" s="105">
        <f t="shared" si="39"/>
        <v>3.9789301544717048E-3</v>
      </c>
      <c r="D315" s="106">
        <f t="shared" si="42"/>
        <v>0.33024555138161449</v>
      </c>
      <c r="E315" s="60">
        <f>rate</f>
        <v>3.5145930840192463E-3</v>
      </c>
      <c r="F315" s="31">
        <f>IF(AND(B314&gt;=gracia,12*años+gracia-B314&gt;0,$L$2&lt;&gt;1),PMT(E314,12*años-B314+gracia,-J314),0)</f>
        <v>-21.169659704331611</v>
      </c>
      <c r="G315" s="31">
        <f>IF(AND(12*años+gracia-B314&gt;0,$L$2&lt;&gt;1),J314*E315,0)</f>
        <v>-5.6232915347767358</v>
      </c>
      <c r="H315" s="31">
        <f>IF(AND(12*años+gracia-B314&gt;0,$L$2&lt;&gt;1),F315-G315,0)</f>
        <v>-15.546368169554874</v>
      </c>
      <c r="I315" s="62"/>
      <c r="J315" s="61">
        <f>J314-H315-I315</f>
        <v>-1584.4373000239782</v>
      </c>
      <c r="K315" s="61">
        <f>K314*(1+$J$17)^(1/12)</f>
        <v>18216.260378395971</v>
      </c>
      <c r="L315" s="31">
        <f t="shared" si="43"/>
        <v>16</v>
      </c>
      <c r="M315" s="31">
        <f t="shared" si="44"/>
        <v>-2.6666666666666661</v>
      </c>
      <c r="N315" s="31">
        <f t="shared" si="45"/>
        <v>-2.35</v>
      </c>
      <c r="O315" s="62"/>
      <c r="P315" s="31">
        <f>O315+N315+M315+L315+I315+F315</f>
        <v>-10.186326370998277</v>
      </c>
      <c r="Q315" s="31">
        <f>SUM($P$36:P315)</f>
        <v>-3336.2070992825479</v>
      </c>
      <c r="R315" s="83">
        <f t="shared" si="46"/>
        <v>-0.18796725655747454</v>
      </c>
      <c r="S315" s="31">
        <f>SUMPRODUCT($P$36:P315,$D$36:D315)/D315-Q315</f>
        <v>-3357.5646692182231</v>
      </c>
      <c r="T315" s="31">
        <f t="shared" si="40"/>
        <v>13295.615979089445</v>
      </c>
      <c r="U315" s="31">
        <f t="shared" si="41"/>
        <v>13916.855979089445</v>
      </c>
      <c r="V315" s="80" cm="1">
        <f t="array" ref="V315">IF($L$2&lt;&gt;1,IRR(IF(ROW($P$36:P315)=ROW(P315),P315+K315+J315,$P$36:P315),V314/12)*12,0)</f>
        <v>0.10146165430462251</v>
      </c>
      <c r="W315" s="83">
        <f>(1+V315/12)^(B315)-1</f>
        <v>9.4757866137686086</v>
      </c>
    </row>
    <row r="316" spans="2:23" x14ac:dyDescent="0.25">
      <c r="B316" s="33">
        <v>280</v>
      </c>
      <c r="C316" s="105">
        <f t="shared" si="39"/>
        <v>3.9789301544717048E-3</v>
      </c>
      <c r="D316" s="106">
        <f t="shared" si="42"/>
        <v>0.32893673508746152</v>
      </c>
      <c r="E316" s="60">
        <f>rate</f>
        <v>3.5145930840192463E-3</v>
      </c>
      <c r="F316" s="31">
        <f>IF(AND(B315&gt;=gracia,12*años+gracia-B315&gt;0,$L$2&lt;&gt;1),PMT(E315,12*años-B315+gracia,-J315),0)</f>
        <v>-21.169659704331607</v>
      </c>
      <c r="G316" s="31">
        <f>IF(AND(12*años+gracia-B315&gt;0,$L$2&lt;&gt;1),J315*E316,0)</f>
        <v>-5.5686523767264013</v>
      </c>
      <c r="H316" s="31">
        <f>IF(AND(12*años+gracia-B315&gt;0,$L$2&lt;&gt;1),F316-G316,0)</f>
        <v>-15.601007327605206</v>
      </c>
      <c r="I316" s="62"/>
      <c r="J316" s="61">
        <f>J315-H316-I316</f>
        <v>-1568.836292696373</v>
      </c>
      <c r="K316" s="61">
        <f>K315*(1+$J$17)^(1/12)</f>
        <v>18304.928946899268</v>
      </c>
      <c r="L316" s="31">
        <f t="shared" si="43"/>
        <v>16</v>
      </c>
      <c r="M316" s="31">
        <f t="shared" si="44"/>
        <v>-2.6666666666666661</v>
      </c>
      <c r="N316" s="31">
        <f t="shared" si="45"/>
        <v>-2.35</v>
      </c>
      <c r="O316" s="62"/>
      <c r="P316" s="31">
        <f>O316+N316+M316+L316+I316+F316</f>
        <v>-10.186326370998273</v>
      </c>
      <c r="Q316" s="31">
        <f>SUM($P$36:P316)</f>
        <v>-3346.3934256535463</v>
      </c>
      <c r="R316" s="83">
        <f t="shared" si="46"/>
        <v>-0.18799866343259652</v>
      </c>
      <c r="S316" s="31">
        <f>SUMPRODUCT($P$36:P316,$D$36:D316)/D316-Q316</f>
        <v>-3384.1987195550614</v>
      </c>
      <c r="T316" s="31">
        <f t="shared" si="40"/>
        <v>13389.699228549349</v>
      </c>
      <c r="U316" s="31">
        <f t="shared" si="41"/>
        <v>14010.939228549349</v>
      </c>
      <c r="V316" s="80" cm="1">
        <f t="array" ref="V316">IF($L$2&lt;&gt;1,IRR(IF(ROW($P$36:P316)=ROW(P316),P316+K316+J316,$P$36:P316),V315/12)*12,0)</f>
        <v>0.10130781449492865</v>
      </c>
      <c r="W316" s="83">
        <f>(1+V316/12)^(B316)-1</f>
        <v>9.5268236045664416</v>
      </c>
    </row>
    <row r="317" spans="2:23" x14ac:dyDescent="0.25">
      <c r="B317" s="33">
        <v>281</v>
      </c>
      <c r="C317" s="105">
        <f t="shared" si="39"/>
        <v>3.9789301544717048E-3</v>
      </c>
      <c r="D317" s="106">
        <f t="shared" si="42"/>
        <v>0.32763310584301952</v>
      </c>
      <c r="E317" s="60">
        <f>rate</f>
        <v>3.5145930840192463E-3</v>
      </c>
      <c r="F317" s="31">
        <f>IF(AND(B316&gt;=gracia,12*años+gracia-B316&gt;0,$L$2&lt;&gt;1),PMT(E316,12*años-B316+gracia,-J316),0)</f>
        <v>-21.169659704331607</v>
      </c>
      <c r="G317" s="31">
        <f>IF(AND(12*años+gracia-B316&gt;0,$L$2&lt;&gt;1),J316*E317,0)</f>
        <v>-5.5138211842690668</v>
      </c>
      <c r="H317" s="31">
        <f>IF(AND(12*años+gracia-B316&gt;0,$L$2&lt;&gt;1),F317-G317,0)</f>
        <v>-15.655838520062542</v>
      </c>
      <c r="I317" s="62"/>
      <c r="J317" s="61">
        <f>J316-H317-I317</f>
        <v>-1553.1804541763104</v>
      </c>
      <c r="K317" s="61">
        <f>K316*(1+$J$17)^(1/12)</f>
        <v>18394.029114143312</v>
      </c>
      <c r="L317" s="31">
        <f t="shared" si="43"/>
        <v>16</v>
      </c>
      <c r="M317" s="31">
        <f t="shared" si="44"/>
        <v>-2.6666666666666661</v>
      </c>
      <c r="N317" s="31">
        <f t="shared" si="45"/>
        <v>-2.35</v>
      </c>
      <c r="O317" s="62"/>
      <c r="P317" s="31">
        <f>O317+N317+M317+L317+I317+F317</f>
        <v>-10.186326370998273</v>
      </c>
      <c r="Q317" s="31">
        <f>SUM($P$36:P317)</f>
        <v>-3356.5797520245446</v>
      </c>
      <c r="R317" s="83">
        <f t="shared" si="46"/>
        <v>-0.18802984677124074</v>
      </c>
      <c r="S317" s="31">
        <f>SUMPRODUCT($P$36:P317,$D$36:D317)/D317-Q317</f>
        <v>-3410.9792755990816</v>
      </c>
      <c r="T317" s="31">
        <f t="shared" si="40"/>
        <v>13484.268907942456</v>
      </c>
      <c r="U317" s="31">
        <f t="shared" si="41"/>
        <v>14105.508907942456</v>
      </c>
      <c r="V317" s="80" cm="1">
        <f t="array" ref="V317">IF($L$2&lt;&gt;1,IRR(IF(ROW($P$36:P317)=ROW(P317),P317+K317+J317,$P$36:P317),V316/12)*12,0)</f>
        <v>0.10115490039848751</v>
      </c>
      <c r="W317" s="83">
        <f>(1+V317/12)^(B317)-1</f>
        <v>9.5780671982801113</v>
      </c>
    </row>
    <row r="318" spans="2:23" x14ac:dyDescent="0.25">
      <c r="B318" s="33">
        <v>282</v>
      </c>
      <c r="C318" s="105">
        <f t="shared" si="39"/>
        <v>3.9789301544717048E-3</v>
      </c>
      <c r="D318" s="106">
        <f t="shared" si="42"/>
        <v>0.32633464309117527</v>
      </c>
      <c r="E318" s="60">
        <f>rate</f>
        <v>3.5145930840192463E-3</v>
      </c>
      <c r="F318" s="31">
        <f>IF(AND(B317&gt;=gracia,12*años+gracia-B317&gt;0,$L$2&lt;&gt;1),PMT(E317,12*años-B317+gracia,-J317),0)</f>
        <v>-21.169659704331604</v>
      </c>
      <c r="G318" s="31">
        <f>IF(AND(12*años+gracia-B317&gt;0,$L$2&lt;&gt;1),J317*E318,0)</f>
        <v>-5.4587972824819326</v>
      </c>
      <c r="H318" s="31">
        <f>IF(AND(12*años+gracia-B317&gt;0,$L$2&lt;&gt;1),F318-G318,0)</f>
        <v>-15.710862421849672</v>
      </c>
      <c r="I318" s="62"/>
      <c r="J318" s="61">
        <f>J317-H318-I318</f>
        <v>-1537.4695917544607</v>
      </c>
      <c r="K318" s="61">
        <f>K317*(1+$J$17)^(1/12)</f>
        <v>18483.562980956798</v>
      </c>
      <c r="L318" s="31">
        <f t="shared" si="43"/>
        <v>16</v>
      </c>
      <c r="M318" s="31">
        <f t="shared" si="44"/>
        <v>-2.6666666666666661</v>
      </c>
      <c r="N318" s="31">
        <f t="shared" si="45"/>
        <v>-2.35</v>
      </c>
      <c r="O318" s="62"/>
      <c r="P318" s="31">
        <f>O318+N318+M318+L318+I318+F318</f>
        <v>-10.18632637099827</v>
      </c>
      <c r="Q318" s="31">
        <f>SUM($P$36:P318)</f>
        <v>-3366.766078395543</v>
      </c>
      <c r="R318" s="83">
        <f t="shared" si="46"/>
        <v>-0.18806080895145488</v>
      </c>
      <c r="S318" s="31">
        <f>SUMPRODUCT($P$36:P318,$D$36:D318)/D318-Q318</f>
        <v>-3437.9069202862606</v>
      </c>
      <c r="T318" s="31">
        <f t="shared" si="40"/>
        <v>13579.327310806795</v>
      </c>
      <c r="U318" s="31">
        <f t="shared" si="41"/>
        <v>14200.567310806795</v>
      </c>
      <c r="V318" s="80" cm="1">
        <f t="array" ref="V318">IF($L$2&lt;&gt;1,IRR(IF(ROW($P$36:P318)=ROW(P318),P318+K318+J318,$P$36:P318),V317/12)*12,0)</f>
        <v>0.10100290401803225</v>
      </c>
      <c r="W318" s="83">
        <f>(1+V318/12)^(B318)-1</f>
        <v>9.6295184542339136</v>
      </c>
    </row>
    <row r="319" spans="2:23" x14ac:dyDescent="0.25">
      <c r="B319" s="33">
        <v>283</v>
      </c>
      <c r="C319" s="105">
        <f t="shared" si="39"/>
        <v>3.9789301544717048E-3</v>
      </c>
      <c r="D319" s="106">
        <f t="shared" si="42"/>
        <v>0.32504132635628674</v>
      </c>
      <c r="E319" s="60">
        <f>rate</f>
        <v>3.5145930840192463E-3</v>
      </c>
      <c r="F319" s="31">
        <f>IF(AND(B318&gt;=gracia,12*años+gracia-B318&gt;0,$L$2&lt;&gt;1),PMT(E318,12*años-B318+gracia,-J318),0)</f>
        <v>-21.169659704331604</v>
      </c>
      <c r="G319" s="31">
        <f>IF(AND(12*años+gracia-B318&gt;0,$L$2&lt;&gt;1),J318*E319,0)</f>
        <v>-5.4035799940701219</v>
      </c>
      <c r="H319" s="31">
        <f>IF(AND(12*años+gracia-B318&gt;0,$L$2&lt;&gt;1),F319-G319,0)</f>
        <v>-15.766079710261483</v>
      </c>
      <c r="I319" s="62"/>
      <c r="J319" s="61">
        <f>J318-H319-I319</f>
        <v>-1521.7035120441992</v>
      </c>
      <c r="K319" s="61">
        <f>K318*(1+$J$17)^(1/12)</f>
        <v>18573.53265839431</v>
      </c>
      <c r="L319" s="31">
        <f t="shared" si="43"/>
        <v>16</v>
      </c>
      <c r="M319" s="31">
        <f t="shared" si="44"/>
        <v>-2.6666666666666661</v>
      </c>
      <c r="N319" s="31">
        <f t="shared" si="45"/>
        <v>-2.35</v>
      </c>
      <c r="O319" s="62"/>
      <c r="P319" s="31">
        <f>O319+N319+M319+L319+I319+F319</f>
        <v>-10.18632637099827</v>
      </c>
      <c r="Q319" s="31">
        <f>SUM($P$36:P319)</f>
        <v>-3376.9524047665413</v>
      </c>
      <c r="R319" s="83">
        <f t="shared" si="46"/>
        <v>-0.18809155231767452</v>
      </c>
      <c r="S319" s="31">
        <f>SUMPRODUCT($P$36:P319,$D$36:D319)/D319-Q319</f>
        <v>-3464.9822388720354</v>
      </c>
      <c r="T319" s="31">
        <f t="shared" si="40"/>
        <v>13674.876741583568</v>
      </c>
      <c r="U319" s="31">
        <f t="shared" si="41"/>
        <v>14296.116741583568</v>
      </c>
      <c r="V319" s="80" cm="1">
        <f t="array" ref="V319">IF($L$2&lt;&gt;1,IRR(IF(ROW($P$36:P319)=ROW(P319),P319+K319+J319,$P$36:P319),V318/12)*12,0)</f>
        <v>0.10085181744735117</v>
      </c>
      <c r="W319" s="83">
        <f>(1+V319/12)^(B319)-1</f>
        <v>9.6811784356435915</v>
      </c>
    </row>
    <row r="320" spans="2:23" x14ac:dyDescent="0.25">
      <c r="B320" s="33">
        <v>284</v>
      </c>
      <c r="C320" s="105">
        <f t="shared" si="39"/>
        <v>3.9789301544717048E-3</v>
      </c>
      <c r="D320" s="106">
        <f t="shared" si="42"/>
        <v>0.32375313524386018</v>
      </c>
      <c r="E320" s="60">
        <f>rate</f>
        <v>3.5145930840192463E-3</v>
      </c>
      <c r="F320" s="31">
        <f>IF(AND(B319&gt;=gracia,12*años+gracia-B319&gt;0,$L$2&lt;&gt;1),PMT(E319,12*años-B319+gracia,-J319),0)</f>
        <v>-21.169659704331611</v>
      </c>
      <c r="G320" s="31">
        <f>IF(AND(12*años+gracia-B319&gt;0,$L$2&lt;&gt;1),J319*E320,0)</f>
        <v>-5.3481686393583407</v>
      </c>
      <c r="H320" s="31">
        <f>IF(AND(12*años+gracia-B319&gt;0,$L$2&lt;&gt;1),F320-G320,0)</f>
        <v>-15.821491064973269</v>
      </c>
      <c r="I320" s="62"/>
      <c r="J320" s="61">
        <f>J319-H320-I320</f>
        <v>-1505.8820209792259</v>
      </c>
      <c r="K320" s="61">
        <f>K319*(1+$J$17)^(1/12)</f>
        <v>18663.940267786096</v>
      </c>
      <c r="L320" s="31">
        <f t="shared" si="43"/>
        <v>16</v>
      </c>
      <c r="M320" s="31">
        <f t="shared" si="44"/>
        <v>-2.6666666666666661</v>
      </c>
      <c r="N320" s="31">
        <f t="shared" si="45"/>
        <v>-2.35</v>
      </c>
      <c r="O320" s="62"/>
      <c r="P320" s="31">
        <f>O320+N320+M320+L320+I320+F320</f>
        <v>-10.186326370998277</v>
      </c>
      <c r="Q320" s="31">
        <f>SUM($P$36:P320)</f>
        <v>-3387.1387311375397</v>
      </c>
      <c r="R320" s="83">
        <f t="shared" si="46"/>
        <v>-0.18812207918131521</v>
      </c>
      <c r="S320" s="31">
        <f>SUMPRODUCT($P$36:P320,$D$36:D320)/D320-Q320</f>
        <v>-3492.2058189405338</v>
      </c>
      <c r="T320" s="31">
        <f t="shared" si="40"/>
        <v>13770.919515669331</v>
      </c>
      <c r="U320" s="31">
        <f t="shared" si="41"/>
        <v>14392.159515669331</v>
      </c>
      <c r="V320" s="80" cm="1">
        <f t="array" ref="V320">IF($L$2&lt;&gt;1,IRR(IF(ROW($P$36:P320)=ROW(P320),P320+K320+J320,$P$36:P320),V319/12)*12,0)</f>
        <v>0.10070163286999012</v>
      </c>
      <c r="W320" s="83">
        <f>(1+V320/12)^(B320)-1</f>
        <v>9.7330482096433553</v>
      </c>
    </row>
    <row r="321" spans="2:23" x14ac:dyDescent="0.25">
      <c r="B321" s="33">
        <v>285</v>
      </c>
      <c r="C321" s="105">
        <f t="shared" si="39"/>
        <v>3.9789301544717048E-3</v>
      </c>
      <c r="D321" s="106">
        <f t="shared" si="42"/>
        <v>0.32247004944022845</v>
      </c>
      <c r="E321" s="60">
        <f>rate</f>
        <v>3.5145930840192463E-3</v>
      </c>
      <c r="F321" s="31">
        <f>IF(AND(B320&gt;=gracia,12*años+gracia-B320&gt;0,$L$2&lt;&gt;1),PMT(E320,12*años-B320+gracia,-J320),0)</f>
        <v>-21.169659704331604</v>
      </c>
      <c r="G321" s="31">
        <f>IF(AND(12*años+gracia-B320&gt;0,$L$2&lt;&gt;1),J320*E321,0)</f>
        <v>-5.2925625362825128</v>
      </c>
      <c r="H321" s="31">
        <f>IF(AND(12*años+gracia-B320&gt;0,$L$2&lt;&gt;1),F321-G321,0)</f>
        <v>-15.87709716804909</v>
      </c>
      <c r="I321" s="62"/>
      <c r="J321" s="61">
        <f>J320-H321-I321</f>
        <v>-1490.0049238111769</v>
      </c>
      <c r="K321" s="61">
        <f>K320*(1+$J$17)^(1/12)</f>
        <v>18754.787940788086</v>
      </c>
      <c r="L321" s="31">
        <f t="shared" si="43"/>
        <v>16</v>
      </c>
      <c r="M321" s="31">
        <f t="shared" si="44"/>
        <v>-2.6666666666666661</v>
      </c>
      <c r="N321" s="31">
        <f t="shared" si="45"/>
        <v>-2.35</v>
      </c>
      <c r="O321" s="62"/>
      <c r="P321" s="31">
        <f>O321+N321+M321+L321+I321+F321</f>
        <v>-10.18632637099827</v>
      </c>
      <c r="Q321" s="31">
        <f>SUM($P$36:P321)</f>
        <v>-3397.3250575085381</v>
      </c>
      <c r="R321" s="83">
        <f t="shared" si="46"/>
        <v>-0.18815239182135141</v>
      </c>
      <c r="S321" s="31">
        <f>SUMPRODUCT($P$36:P321,$D$36:D321)/D321-Q321</f>
        <v>-3519.5782504138401</v>
      </c>
      <c r="T321" s="31">
        <f t="shared" si="40"/>
        <v>13867.457959468371</v>
      </c>
      <c r="U321" s="31">
        <f t="shared" si="41"/>
        <v>14488.697959468371</v>
      </c>
      <c r="V321" s="80" cm="1">
        <f t="array" ref="V321">IF($L$2&lt;&gt;1,IRR(IF(ROW($P$36:P321)=ROW(P321),P321+K321+J321,$P$36:P321),V320/12)*12,0)</f>
        <v>0.10055234255801349</v>
      </c>
      <c r="W321" s="83">
        <f>(1+V321/12)^(B321)-1</f>
        <v>9.7851288473199034</v>
      </c>
    </row>
    <row r="322" spans="2:23" x14ac:dyDescent="0.25">
      <c r="B322" s="33">
        <v>286</v>
      </c>
      <c r="C322" s="105">
        <f t="shared" si="39"/>
        <v>3.9789301544717048E-3</v>
      </c>
      <c r="D322" s="106">
        <f t="shared" si="42"/>
        <v>0.32119204871223078</v>
      </c>
      <c r="E322" s="60">
        <f>rate</f>
        <v>3.5145930840192463E-3</v>
      </c>
      <c r="F322" s="31">
        <f>IF(AND(B321&gt;=gracia,12*años+gracia-B321&gt;0,$L$2&lt;&gt;1),PMT(E321,12*años-B321+gracia,-J321),0)</f>
        <v>-21.169659704331607</v>
      </c>
      <c r="G322" s="31">
        <f>IF(AND(12*años+gracia-B321&gt;0,$L$2&lt;&gt;1),J321*E322,0)</f>
        <v>-5.236761000381386</v>
      </c>
      <c r="H322" s="31">
        <f>IF(AND(12*años+gracia-B321&gt;0,$L$2&lt;&gt;1),F322-G322,0)</f>
        <v>-15.932898703950222</v>
      </c>
      <c r="I322" s="62"/>
      <c r="J322" s="61">
        <f>J321-H322-I322</f>
        <v>-1474.0720251072266</v>
      </c>
      <c r="K322" s="61">
        <f>K321*(1+$J$17)^(1/12)</f>
        <v>18846.077819432157</v>
      </c>
      <c r="L322" s="31">
        <f t="shared" si="43"/>
        <v>16</v>
      </c>
      <c r="M322" s="31">
        <f t="shared" si="44"/>
        <v>-2.6666666666666661</v>
      </c>
      <c r="N322" s="31">
        <f t="shared" si="45"/>
        <v>-2.35</v>
      </c>
      <c r="O322" s="62"/>
      <c r="P322" s="31">
        <f>O322+N322+M322+L322+I322+F322</f>
        <v>-10.186326370998273</v>
      </c>
      <c r="Q322" s="31">
        <f>SUM($P$36:P322)</f>
        <v>-3407.5113838795364</v>
      </c>
      <c r="R322" s="83">
        <f t="shared" si="46"/>
        <v>-0.18818249248488378</v>
      </c>
      <c r="S322" s="31">
        <f>SUMPRODUCT($P$36:P322,$D$36:D322)/D322-Q322</f>
        <v>-3547.1001255612987</v>
      </c>
      <c r="T322" s="31">
        <f t="shared" si="40"/>
        <v>13964.494410445393</v>
      </c>
      <c r="U322" s="31">
        <f t="shared" si="41"/>
        <v>14585.734410445393</v>
      </c>
      <c r="V322" s="80" cm="1">
        <f t="array" ref="V322">IF($L$2&lt;&gt;1,IRR(IF(ROW($P$36:P322)=ROW(P322),P322+K322+J322,$P$36:P322),V321/12)*12,0)</f>
        <v>0.10040393887074917</v>
      </c>
      <c r="W322" s="83">
        <f>(1+V322/12)^(B322)-1</f>
        <v>9.8374214237415512</v>
      </c>
    </row>
    <row r="323" spans="2:23" x14ac:dyDescent="0.25">
      <c r="B323" s="33">
        <v>287</v>
      </c>
      <c r="C323" s="105">
        <f t="shared" si="39"/>
        <v>3.9789301544717048E-3</v>
      </c>
      <c r="D323" s="106">
        <f t="shared" si="42"/>
        <v>0.31991911290689373</v>
      </c>
      <c r="E323" s="60">
        <f>rate</f>
        <v>3.5145930840192463E-3</v>
      </c>
      <c r="F323" s="31">
        <f>IF(AND(B322&gt;=gracia,12*años+gracia-B322&gt;0,$L$2&lt;&gt;1),PMT(E322,12*años-B322+gracia,-J322),0)</f>
        <v>-21.169659704331607</v>
      </c>
      <c r="G323" s="31">
        <f>IF(AND(12*años+gracia-B322&gt;0,$L$2&lt;&gt;1),J322*E323,0)</f>
        <v>-5.1807633447881036</v>
      </c>
      <c r="H323" s="31">
        <f>IF(AND(12*años+gracia-B322&gt;0,$L$2&lt;&gt;1),F323-G323,0)</f>
        <v>-15.988896359543503</v>
      </c>
      <c r="I323" s="62"/>
      <c r="J323" s="61">
        <f>J322-H323-I323</f>
        <v>-1458.0831287476831</v>
      </c>
      <c r="K323" s="61">
        <f>K322*(1+$J$17)^(1/12)</f>
        <v>18937.812056176634</v>
      </c>
      <c r="L323" s="31">
        <f t="shared" si="43"/>
        <v>16</v>
      </c>
      <c r="M323" s="31">
        <f t="shared" si="44"/>
        <v>-2.6666666666666661</v>
      </c>
      <c r="N323" s="31">
        <f t="shared" si="45"/>
        <v>-2.35</v>
      </c>
      <c r="O323" s="62"/>
      <c r="P323" s="31">
        <f>O323+N323+M323+L323+I323+F323</f>
        <v>-10.186326370998273</v>
      </c>
      <c r="Q323" s="31">
        <f>SUM($P$36:P323)</f>
        <v>-3417.6977102505348</v>
      </c>
      <c r="R323" s="83">
        <f t="shared" si="46"/>
        <v>-0.18821238338769472</v>
      </c>
      <c r="S323" s="31">
        <f>SUMPRODUCT($P$36:P323,$D$36:D323)/D323-Q323</f>
        <v>-3574.7720390088484</v>
      </c>
      <c r="T323" s="31">
        <f t="shared" si="40"/>
        <v>14062.031217178415</v>
      </c>
      <c r="U323" s="31">
        <f t="shared" si="41"/>
        <v>14683.271217178415</v>
      </c>
      <c r="V323" s="80" cm="1">
        <f t="array" ref="V323">IF($L$2&lt;&gt;1,IRR(IF(ROW($P$36:P323)=ROW(P323),P323+K323+J323,$P$36:P323),V322/12)*12,0)</f>
        <v>0.10025641425356557</v>
      </c>
      <c r="W323" s="83">
        <f>(1+V323/12)^(B323)-1</f>
        <v>9.8899270179854462</v>
      </c>
    </row>
    <row r="324" spans="2:23" x14ac:dyDescent="0.25">
      <c r="B324" s="33">
        <v>288</v>
      </c>
      <c r="C324" s="105">
        <f t="shared" si="39"/>
        <v>3.9789301544717048E-3</v>
      </c>
      <c r="D324" s="106">
        <f t="shared" si="42"/>
        <v>0.31865122195111317</v>
      </c>
      <c r="E324" s="60">
        <f>rate</f>
        <v>3.5145930840192463E-3</v>
      </c>
      <c r="F324" s="31">
        <f>IF(AND(B323&gt;=gracia,12*años+gracia-B323&gt;0,$L$2&lt;&gt;1),PMT(E323,12*años-B323+gracia,-J323),0)</f>
        <v>-21.169659704331607</v>
      </c>
      <c r="G324" s="31">
        <f>IF(AND(12*años+gracia-B323&gt;0,$L$2&lt;&gt;1),J323*E324,0)</f>
        <v>-5.1245688802217515</v>
      </c>
      <c r="H324" s="31">
        <f>IF(AND(12*años+gracia-B323&gt;0,$L$2&lt;&gt;1),F324-G324,0)</f>
        <v>-16.045090824109856</v>
      </c>
      <c r="I324" s="62"/>
      <c r="J324" s="61">
        <f>J323-H324-I324</f>
        <v>-1442.0380379235733</v>
      </c>
      <c r="K324" s="61">
        <f>K323*(1+$J$17)^(1/12)</f>
        <v>19029.992813957037</v>
      </c>
      <c r="L324" s="31">
        <f t="shared" si="43"/>
        <v>16</v>
      </c>
      <c r="M324" s="31">
        <f t="shared" si="44"/>
        <v>-2.6666666666666661</v>
      </c>
      <c r="N324" s="31">
        <f t="shared" si="45"/>
        <v>-2.35</v>
      </c>
      <c r="O324" s="62"/>
      <c r="P324" s="31">
        <f>O324+N324+M324+L324+I324+F324</f>
        <v>-10.186326370998273</v>
      </c>
      <c r="Q324" s="31">
        <f>SUM($P$36:P324)</f>
        <v>-3427.8840366215331</v>
      </c>
      <c r="R324" s="83">
        <f t="shared" si="46"/>
        <v>-0.18824206671479171</v>
      </c>
      <c r="S324" s="31">
        <f>SUMPRODUCT($P$36:P324,$D$36:D324)/D324-Q324</f>
        <v>-3602.5945877484078</v>
      </c>
      <c r="T324" s="31">
        <f t="shared" si="40"/>
        <v>14160.070739411931</v>
      </c>
      <c r="U324" s="31">
        <f t="shared" si="41"/>
        <v>14781.310739411931</v>
      </c>
      <c r="V324" s="80" cm="1">
        <f t="array" ref="V324">IF($L$2&lt;&gt;1,IRR(IF(ROW($P$36:P324)=ROW(P324),P324+K324+J324,$P$36:P324),V323/12)*12,0)</f>
        <v>0.10010976123669124</v>
      </c>
      <c r="W324" s="83">
        <f>(1+V324/12)^(B324)-1</f>
        <v>9.9426467131750496</v>
      </c>
    </row>
    <row r="325" spans="2:23" x14ac:dyDescent="0.25">
      <c r="B325" s="33">
        <v>289</v>
      </c>
      <c r="C325" s="105">
        <f t="shared" si="39"/>
        <v>3.9789301544717048E-3</v>
      </c>
      <c r="D325" s="106">
        <f t="shared" si="42"/>
        <v>0.31738835585133807</v>
      </c>
      <c r="E325" s="60">
        <f>rate</f>
        <v>3.5145930840192463E-3</v>
      </c>
      <c r="F325" s="31">
        <f>IF(AND(B324&gt;=gracia,12*años+gracia-B324&gt;0,$L$2&lt;&gt;1),PMT(E324,12*años-B324+gracia,-J324),0)</f>
        <v>-21.169659704331611</v>
      </c>
      <c r="G325" s="31">
        <f>IF(AND(12*años+gracia-B324&gt;0,$L$2&lt;&gt;1),J324*E325,0)</f>
        <v>-5.0681769149788742</v>
      </c>
      <c r="H325" s="31">
        <f>IF(AND(12*años+gracia-B324&gt;0,$L$2&lt;&gt;1),F325-G325,0)</f>
        <v>-16.101482789352737</v>
      </c>
      <c r="I325" s="62"/>
      <c r="J325" s="61">
        <f>J324-H325-I325</f>
        <v>-1425.9365551342205</v>
      </c>
      <c r="K325" s="61">
        <f>K324*(1+$J$17)^(1/12)</f>
        <v>19122.622266237086</v>
      </c>
      <c r="L325" s="31">
        <f t="shared" si="43"/>
        <v>16</v>
      </c>
      <c r="M325" s="31">
        <f t="shared" si="44"/>
        <v>-2.6666666666666661</v>
      </c>
      <c r="N325" s="31">
        <f t="shared" si="45"/>
        <v>-2.35</v>
      </c>
      <c r="O325" s="62"/>
      <c r="P325" s="31">
        <f>O325+N325+M325+L325+I325+F325</f>
        <v>-10.186326370998277</v>
      </c>
      <c r="Q325" s="31">
        <f>SUM($P$36:P325)</f>
        <v>-3438.0703629925315</v>
      </c>
      <c r="R325" s="83">
        <f t="shared" si="46"/>
        <v>-0.18827154462093992</v>
      </c>
      <c r="S325" s="31">
        <f>SUMPRODUCT($P$36:P325,$D$36:D325)/D325-Q325</f>
        <v>-3630.5683711472834</v>
      </c>
      <c r="T325" s="31">
        <f t="shared" si="40"/>
        <v>14258.615348110334</v>
      </c>
      <c r="U325" s="31">
        <f t="shared" si="41"/>
        <v>14879.855348110334</v>
      </c>
      <c r="V325" s="80" cm="1">
        <f t="array" ref="V325">IF($L$2&lt;&gt;1,IRR(IF(ROW($P$36:P325)=ROW(P325),P325+K325+J325,$P$36:P325),V324/12)*12,0)</f>
        <v>9.9963972434002457E-2</v>
      </c>
      <c r="W325" s="83">
        <f>(1+V325/12)^(B325)-1</f>
        <v>9.9955815964989885</v>
      </c>
    </row>
    <row r="326" spans="2:23" x14ac:dyDescent="0.25">
      <c r="B326" s="33">
        <v>290</v>
      </c>
      <c r="C326" s="105">
        <f t="shared" si="39"/>
        <v>3.9789301544717048E-3</v>
      </c>
      <c r="D326" s="106">
        <f t="shared" si="42"/>
        <v>0.31613049469325499</v>
      </c>
      <c r="E326" s="60">
        <f>rate</f>
        <v>3.5145930840192463E-3</v>
      </c>
      <c r="F326" s="31">
        <f>IF(AND(B325&gt;=gracia,12*años+gracia-B325&gt;0,$L$2&lt;&gt;1),PMT(E325,12*años-B325+gracia,-J325),0)</f>
        <v>-21.169659704331611</v>
      </c>
      <c r="G326" s="31">
        <f>IF(AND(12*años+gracia-B325&gt;0,$L$2&lt;&gt;1),J325*E326,0)</f>
        <v>-5.0115867549249602</v>
      </c>
      <c r="H326" s="31">
        <f>IF(AND(12*años+gracia-B325&gt;0,$L$2&lt;&gt;1),F326-G326,0)</f>
        <v>-16.158072949406652</v>
      </c>
      <c r="I326" s="62"/>
      <c r="J326" s="61">
        <f>J325-H326-I326</f>
        <v>-1409.7784821848138</v>
      </c>
      <c r="K326" s="61">
        <f>K325*(1+$J$17)^(1/12)</f>
        <v>19215.70259705995</v>
      </c>
      <c r="L326" s="31">
        <f t="shared" si="43"/>
        <v>16</v>
      </c>
      <c r="M326" s="31">
        <f t="shared" si="44"/>
        <v>-2.6666666666666661</v>
      </c>
      <c r="N326" s="31">
        <f t="shared" si="45"/>
        <v>-2.35</v>
      </c>
      <c r="O326" s="62"/>
      <c r="P326" s="31">
        <f>O326+N326+M326+L326+I326+F326</f>
        <v>-10.186326370998277</v>
      </c>
      <c r="Q326" s="31">
        <f>SUM($P$36:P326)</f>
        <v>-3448.2566893635299</v>
      </c>
      <c r="R326" s="83">
        <f t="shared" si="46"/>
        <v>-0.18830081923118364</v>
      </c>
      <c r="S326" s="31">
        <f>SUMPRODUCT($P$36:P326,$D$36:D326)/D326-Q326</f>
        <v>-3658.693990957619</v>
      </c>
      <c r="T326" s="31">
        <f t="shared" si="40"/>
        <v>14357.667425511605</v>
      </c>
      <c r="U326" s="31">
        <f t="shared" si="41"/>
        <v>14978.907425511605</v>
      </c>
      <c r="V326" s="80" cm="1">
        <f t="array" ref="V326">IF($L$2&lt;&gt;1,IRR(IF(ROW($P$36:P326)=ROW(P326),P326+K326+J326,$P$36:P326),V325/12)*12,0)</f>
        <v>9.9819040541906823E-2</v>
      </c>
      <c r="W326" s="83">
        <f>(1+V326/12)^(B326)-1</f>
        <v>10.048732759255271</v>
      </c>
    </row>
    <row r="327" spans="2:23" x14ac:dyDescent="0.25">
      <c r="B327" s="33">
        <v>291</v>
      </c>
      <c r="C327" s="105">
        <f t="shared" si="39"/>
        <v>3.9789301544717048E-3</v>
      </c>
      <c r="D327" s="106">
        <f t="shared" si="42"/>
        <v>0.31487761864147418</v>
      </c>
      <c r="E327" s="60">
        <f>rate</f>
        <v>3.5145930840192463E-3</v>
      </c>
      <c r="F327" s="31">
        <f>IF(AND(B326&gt;=gracia,12*años+gracia-B326&gt;0,$L$2&lt;&gt;1),PMT(E326,12*años-B326+gracia,-J326),0)</f>
        <v>-21.169659704331604</v>
      </c>
      <c r="G327" s="31">
        <f>IF(AND(12*años+gracia-B326&gt;0,$L$2&lt;&gt;1),J326*E327,0)</f>
        <v>-4.9547977034858972</v>
      </c>
      <c r="H327" s="31">
        <f>IF(AND(12*años+gracia-B326&gt;0,$L$2&lt;&gt;1),F327-G327,0)</f>
        <v>-16.214862000845706</v>
      </c>
      <c r="I327" s="62"/>
      <c r="J327" s="61">
        <f>J326-H327-I327</f>
        <v>-1393.5636201839682</v>
      </c>
      <c r="K327" s="61">
        <f>K326*(1+$J$17)^(1/12)</f>
        <v>19309.236001099733</v>
      </c>
      <c r="L327" s="31">
        <f t="shared" si="43"/>
        <v>16</v>
      </c>
      <c r="M327" s="31">
        <f t="shared" si="44"/>
        <v>-2.6666666666666661</v>
      </c>
      <c r="N327" s="31">
        <f t="shared" si="45"/>
        <v>-2.35</v>
      </c>
      <c r="O327" s="62"/>
      <c r="P327" s="31">
        <f>O327+N327+M327+L327+I327+F327</f>
        <v>-10.18632637099827</v>
      </c>
      <c r="Q327" s="31">
        <f>SUM($P$36:P327)</f>
        <v>-3458.4430157345282</v>
      </c>
      <c r="R327" s="83">
        <f t="shared" si="46"/>
        <v>-0.18832989264135697</v>
      </c>
      <c r="S327" s="31">
        <f>SUMPRODUCT($P$36:P327,$D$36:D327)/D327-Q327</f>
        <v>-3686.9720513258922</v>
      </c>
      <c r="T327" s="31">
        <f t="shared" si="40"/>
        <v>14457.229365181236</v>
      </c>
      <c r="U327" s="31">
        <f t="shared" si="41"/>
        <v>15078.469365181236</v>
      </c>
      <c r="V327" s="80" cm="1">
        <f t="array" ref="V327">IF($L$2&lt;&gt;1,IRR(IF(ROW($P$36:P327)=ROW(P327),P327+K327+J327,$P$36:P327),V326/12)*12,0)</f>
        <v>9.9674958338168196E-2</v>
      </c>
      <c r="W327" s="83">
        <f>(1+V327/12)^(B327)-1</f>
        <v>10.102101296871959</v>
      </c>
    </row>
    <row r="328" spans="2:23" x14ac:dyDescent="0.25">
      <c r="B328" s="33">
        <v>292</v>
      </c>
      <c r="C328" s="105">
        <f t="shared" si="39"/>
        <v>3.9789301544717048E-3</v>
      </c>
      <c r="D328" s="106">
        <f t="shared" si="42"/>
        <v>0.31362970793921668</v>
      </c>
      <c r="E328" s="60">
        <f>rate</f>
        <v>3.5145930840192463E-3</v>
      </c>
      <c r="F328" s="31">
        <f>IF(AND(B327&gt;=gracia,12*años+gracia-B327&gt;0,$L$2&lt;&gt;1),PMT(E327,12*años-B327+gracia,-J327),0)</f>
        <v>-21.169659704331611</v>
      </c>
      <c r="G328" s="31">
        <f>IF(AND(12*años+gracia-B327&gt;0,$L$2&lt;&gt;1),J327*E328,0)</f>
        <v>-4.8978090616393981</v>
      </c>
      <c r="H328" s="31">
        <f>IF(AND(12*años+gracia-B327&gt;0,$L$2&lt;&gt;1),F328-G328,0)</f>
        <v>-16.271850642692215</v>
      </c>
      <c r="I328" s="62"/>
      <c r="J328" s="61">
        <f>J327-H328-I328</f>
        <v>-1377.2917695412759</v>
      </c>
      <c r="K328" s="61">
        <f>K327*(1+$J$17)^(1/12)</f>
        <v>19403.22468371323</v>
      </c>
      <c r="L328" s="31">
        <f t="shared" si="43"/>
        <v>16</v>
      </c>
      <c r="M328" s="31">
        <f t="shared" si="44"/>
        <v>-2.6666666666666661</v>
      </c>
      <c r="N328" s="31">
        <f t="shared" si="45"/>
        <v>-2.35</v>
      </c>
      <c r="O328" s="62"/>
      <c r="P328" s="31">
        <f>O328+N328+M328+L328+I328+F328</f>
        <v>-10.186326370998277</v>
      </c>
      <c r="Q328" s="31">
        <f>SUM($P$36:P328)</f>
        <v>-3468.6293421055266</v>
      </c>
      <c r="R328" s="83">
        <f t="shared" si="46"/>
        <v>-0.18835876691858394</v>
      </c>
      <c r="S328" s="31">
        <f>SUMPRODUCT($P$36:P328,$D$36:D328)/D328-Q328</f>
        <v>-3715.4031588024341</v>
      </c>
      <c r="T328" s="31">
        <f t="shared" si="40"/>
        <v>14557.303572066427</v>
      </c>
      <c r="U328" s="31">
        <f t="shared" si="41"/>
        <v>15178.543572066426</v>
      </c>
      <c r="V328" s="80" cm="1">
        <f t="array" ref="V328">IF($L$2&lt;&gt;1,IRR(IF(ROW($P$36:P328)=ROW(P328),P328+K328+J328,$P$36:P328),V327/12)*12,0)</f>
        <v>9.953171868078492E-2</v>
      </c>
      <c r="W328" s="83">
        <f>(1+V328/12)^(B328)-1</f>
        <v>10.155688308936591</v>
      </c>
    </row>
    <row r="329" spans="2:23" x14ac:dyDescent="0.25">
      <c r="B329" s="33">
        <v>293</v>
      </c>
      <c r="C329" s="105">
        <f t="shared" si="39"/>
        <v>3.9789301544717048E-3</v>
      </c>
      <c r="D329" s="106">
        <f t="shared" si="42"/>
        <v>0.31238674290800283</v>
      </c>
      <c r="E329" s="60">
        <f>rate</f>
        <v>3.5145930840192463E-3</v>
      </c>
      <c r="F329" s="31">
        <f>IF(AND(B328&gt;=gracia,12*años+gracia-B328&gt;0,$L$2&lt;&gt;1),PMT(E328,12*años-B328+gracia,-J328),0)</f>
        <v>-21.169659704331607</v>
      </c>
      <c r="G329" s="31">
        <f>IF(AND(12*años+gracia-B328&gt;0,$L$2&lt;&gt;1),J328*E329,0)</f>
        <v>-4.8406201279063978</v>
      </c>
      <c r="H329" s="31">
        <f>IF(AND(12*años+gracia-B328&gt;0,$L$2&lt;&gt;1),F329-G329,0)</f>
        <v>-16.32903957642521</v>
      </c>
      <c r="I329" s="62"/>
      <c r="J329" s="61">
        <f>J328-H329-I329</f>
        <v>-1360.9627299648507</v>
      </c>
      <c r="K329" s="61">
        <f>K328*(1+$J$17)^(1/12)</f>
        <v>19497.670860991915</v>
      </c>
      <c r="L329" s="31">
        <f t="shared" si="43"/>
        <v>16</v>
      </c>
      <c r="M329" s="31">
        <f t="shared" si="44"/>
        <v>-2.6666666666666661</v>
      </c>
      <c r="N329" s="31">
        <f t="shared" si="45"/>
        <v>-2.35</v>
      </c>
      <c r="O329" s="62"/>
      <c r="P329" s="31">
        <f>O329+N329+M329+L329+I329+F329</f>
        <v>-10.186326370998273</v>
      </c>
      <c r="Q329" s="31">
        <f>SUM($P$36:P329)</f>
        <v>-3478.8156684765249</v>
      </c>
      <c r="R329" s="83">
        <f t="shared" si="46"/>
        <v>-0.18838744410176836</v>
      </c>
      <c r="S329" s="31">
        <f>SUMPRODUCT($P$36:P329,$D$36:D329)/D329-Q329</f>
        <v>-3743.9879223510011</v>
      </c>
      <c r="T329" s="31">
        <f t="shared" si="40"/>
        <v>14657.892462550539</v>
      </c>
      <c r="U329" s="31">
        <f t="shared" si="41"/>
        <v>15279.132462550539</v>
      </c>
      <c r="V329" s="80" cm="1">
        <f t="array" ref="V329">IF($L$2&lt;&gt;1,IRR(IF(ROW($P$36:P329)=ROW(P329),P329+K329+J329,$P$36:P329),V328/12)*12,0)</f>
        <v>9.9389314506913351E-2</v>
      </c>
      <c r="W329" s="83">
        <f>(1+V329/12)^(B329)-1</f>
        <v>10.209494899235604</v>
      </c>
    </row>
    <row r="330" spans="2:23" x14ac:dyDescent="0.25">
      <c r="B330" s="33">
        <v>294</v>
      </c>
      <c r="C330" s="105">
        <f t="shared" si="39"/>
        <v>3.9789301544717048E-3</v>
      </c>
      <c r="D330" s="106">
        <f t="shared" si="42"/>
        <v>0.31114870394734195</v>
      </c>
      <c r="E330" s="60">
        <f>rate</f>
        <v>3.5145930840192463E-3</v>
      </c>
      <c r="F330" s="31">
        <f>IF(AND(B329&gt;=gracia,12*años+gracia-B329&gt;0,$L$2&lt;&gt;1),PMT(E329,12*años-B329+gracia,-J329),0)</f>
        <v>-21.169659704331604</v>
      </c>
      <c r="G330" s="31">
        <f>IF(AND(12*años+gracia-B329&gt;0,$L$2&lt;&gt;1),J329*E330,0)</f>
        <v>-4.7832301983424177</v>
      </c>
      <c r="H330" s="31">
        <f>IF(AND(12*años+gracia-B329&gt;0,$L$2&lt;&gt;1),F330-G330,0)</f>
        <v>-16.386429505989184</v>
      </c>
      <c r="I330" s="62"/>
      <c r="J330" s="61">
        <f>J329-H330-I330</f>
        <v>-1344.5763004588616</v>
      </c>
      <c r="K330" s="61">
        <f>K329*(1+$J$17)^(1/12)</f>
        <v>19592.576759814208</v>
      </c>
      <c r="L330" s="31">
        <f t="shared" si="43"/>
        <v>16</v>
      </c>
      <c r="M330" s="31">
        <f t="shared" si="44"/>
        <v>-2.6666666666666661</v>
      </c>
      <c r="N330" s="31">
        <f t="shared" si="45"/>
        <v>-2.35</v>
      </c>
      <c r="O330" s="62"/>
      <c r="P330" s="31">
        <f>O330+N330+M330+L330+I330+F330</f>
        <v>-10.18632637099827</v>
      </c>
      <c r="Q330" s="31">
        <f>SUM($P$36:P330)</f>
        <v>-3489.0019948475233</v>
      </c>
      <c r="R330" s="83">
        <f t="shared" si="46"/>
        <v>-0.18841592620207398</v>
      </c>
      <c r="S330" s="31">
        <f>SUMPRODUCT($P$36:P330,$D$36:D330)/D330-Q330</f>
        <v>-3772.7269533583708</v>
      </c>
      <c r="T330" s="31">
        <f t="shared" si="40"/>
        <v>14758.998464507824</v>
      </c>
      <c r="U330" s="31">
        <f t="shared" si="41"/>
        <v>15380.238464507824</v>
      </c>
      <c r="V330" s="80" cm="1">
        <f t="array" ref="V330">IF($L$2&lt;&gt;1,IRR(IF(ROW($P$36:P330)=ROW(P330),P330+K330+J330,$P$36:P330),V329/12)*12,0)</f>
        <v>9.924773883175142E-2</v>
      </c>
      <c r="W330" s="83">
        <f>(1+V330/12)^(B330)-1</f>
        <v>10.263522175775076</v>
      </c>
    </row>
    <row r="331" spans="2:23" x14ac:dyDescent="0.25">
      <c r="B331" s="33">
        <v>295</v>
      </c>
      <c r="C331" s="105">
        <f t="shared" si="39"/>
        <v>3.9789301544717048E-3</v>
      </c>
      <c r="D331" s="106">
        <f t="shared" si="42"/>
        <v>0.30991557153442328</v>
      </c>
      <c r="E331" s="60">
        <f>rate</f>
        <v>3.5145930840192463E-3</v>
      </c>
      <c r="F331" s="31">
        <f>IF(AND(B330&gt;=gracia,12*años+gracia-B330&gt;0,$L$2&lt;&gt;1),PMT(E330,12*años-B330+gracia,-J330),0)</f>
        <v>-21.169659704331607</v>
      </c>
      <c r="G331" s="31">
        <f>IF(AND(12*años+gracia-B330&gt;0,$L$2&lt;&gt;1),J330*E331,0)</f>
        <v>-4.7256385665288994</v>
      </c>
      <c r="H331" s="31">
        <f>IF(AND(12*años+gracia-B330&gt;0,$L$2&lt;&gt;1),F331-G331,0)</f>
        <v>-16.444021137802707</v>
      </c>
      <c r="I331" s="62"/>
      <c r="J331" s="61">
        <f>J330-H331-I331</f>
        <v>-1328.1322793210588</v>
      </c>
      <c r="K331" s="61">
        <f>K330*(1+$J$17)^(1/12)</f>
        <v>19687.944617897971</v>
      </c>
      <c r="L331" s="31">
        <f t="shared" si="43"/>
        <v>16</v>
      </c>
      <c r="M331" s="31">
        <f t="shared" si="44"/>
        <v>-2.6666666666666661</v>
      </c>
      <c r="N331" s="31">
        <f t="shared" si="45"/>
        <v>-2.35</v>
      </c>
      <c r="O331" s="62"/>
      <c r="P331" s="31">
        <f>O331+N331+M331+L331+I331+F331</f>
        <v>-10.186326370998273</v>
      </c>
      <c r="Q331" s="31">
        <f>SUM($P$36:P331)</f>
        <v>-3499.1883212185217</v>
      </c>
      <c r="R331" s="83">
        <f t="shared" si="46"/>
        <v>-0.18844421520339452</v>
      </c>
      <c r="S331" s="31">
        <f>SUMPRODUCT($P$36:P331,$D$36:D331)/D331-Q331</f>
        <v>-3801.6208656439881</v>
      </c>
      <c r="T331" s="31">
        <f t="shared" si="40"/>
        <v>14860.62401735839</v>
      </c>
      <c r="U331" s="31">
        <f t="shared" si="41"/>
        <v>15481.86401735839</v>
      </c>
      <c r="V331" s="80" cm="1">
        <f t="array" ref="V331">IF($L$2&lt;&gt;1,IRR(IF(ROW($P$36:P331)=ROW(P331),P331+K331+J331,$P$36:P331),V330/12)*12,0)</f>
        <v>9.9106984747486138E-2</v>
      </c>
      <c r="W331" s="83">
        <f>(1+V331/12)^(B331)-1</f>
        <v>10.317771250815417</v>
      </c>
    </row>
    <row r="332" spans="2:23" x14ac:dyDescent="0.25">
      <c r="B332" s="33">
        <v>296</v>
      </c>
      <c r="C332" s="105">
        <f t="shared" si="39"/>
        <v>3.9789301544717048E-3</v>
      </c>
      <c r="D332" s="106">
        <f t="shared" si="42"/>
        <v>0.30868732622380812</v>
      </c>
      <c r="E332" s="60">
        <f>rate</f>
        <v>3.5145930840192463E-3</v>
      </c>
      <c r="F332" s="31">
        <f>IF(AND(B331&gt;=gracia,12*años+gracia-B331&gt;0,$L$2&lt;&gt;1),PMT(E331,12*años-B331+gracia,-J331),0)</f>
        <v>-21.169659704331607</v>
      </c>
      <c r="G332" s="31">
        <f>IF(AND(12*años+gracia-B331&gt;0,$L$2&lt;&gt;1),J331*E332,0)</f>
        <v>-4.6678445235645114</v>
      </c>
      <c r="H332" s="31">
        <f>IF(AND(12*años+gracia-B331&gt;0,$L$2&lt;&gt;1),F332-G332,0)</f>
        <v>-16.501815180767096</v>
      </c>
      <c r="I332" s="62"/>
      <c r="J332" s="61">
        <f>J331-H332-I332</f>
        <v>-1311.6304641402917</v>
      </c>
      <c r="K332" s="61">
        <f>K331*(1+$J$17)^(1/12)</f>
        <v>19783.776683853263</v>
      </c>
      <c r="L332" s="31">
        <f t="shared" si="43"/>
        <v>16</v>
      </c>
      <c r="M332" s="31">
        <f t="shared" si="44"/>
        <v>-2.6666666666666661</v>
      </c>
      <c r="N332" s="31">
        <f t="shared" si="45"/>
        <v>-2.35</v>
      </c>
      <c r="O332" s="62"/>
      <c r="P332" s="31">
        <f>O332+N332+M332+L332+I332+F332</f>
        <v>-10.186326370998273</v>
      </c>
      <c r="Q332" s="31">
        <f>SUM($P$36:P332)</f>
        <v>-3509.37464758952</v>
      </c>
      <c r="R332" s="83">
        <f t="shared" si="46"/>
        <v>-0.18847231306281423</v>
      </c>
      <c r="S332" s="31">
        <f>SUMPRODUCT($P$36:P332,$D$36:D332)/D332-Q332</f>
        <v>-3830.6702754696403</v>
      </c>
      <c r="T332" s="31">
        <f t="shared" si="40"/>
        <v>14962.771572123451</v>
      </c>
      <c r="U332" s="31">
        <f t="shared" si="41"/>
        <v>15584.011572123451</v>
      </c>
      <c r="V332" s="80" cm="1">
        <f t="array" ref="V332">IF($L$2&lt;&gt;1,IRR(IF(ROW($P$36:P332)=ROW(P332),P332+K332+J332,$P$36:P332),V331/12)*12,0)</f>
        <v>9.8967045422238442E-2</v>
      </c>
      <c r="W332" s="83">
        <f>(1+V332/12)^(B332)-1</f>
        <v>10.372243240901593</v>
      </c>
    </row>
    <row r="333" spans="2:23" x14ac:dyDescent="0.25">
      <c r="B333" s="33">
        <v>297</v>
      </c>
      <c r="C333" s="105">
        <f t="shared" si="39"/>
        <v>3.9789301544717048E-3</v>
      </c>
      <c r="D333" s="106">
        <f t="shared" si="42"/>
        <v>0.30746394864712312</v>
      </c>
      <c r="E333" s="60">
        <f>rate</f>
        <v>3.5145930840192463E-3</v>
      </c>
      <c r="F333" s="31">
        <f>IF(AND(B332&gt;=gracia,12*años+gracia-B332&gt;0,$L$2&lt;&gt;1),PMT(E332,12*años-B332+gracia,-J332),0)</f>
        <v>-21.169659704331604</v>
      </c>
      <c r="G333" s="31">
        <f>IF(AND(12*años+gracia-B332&gt;0,$L$2&lt;&gt;1),J332*E333,0)</f>
        <v>-4.609847358056423</v>
      </c>
      <c r="H333" s="31">
        <f>IF(AND(12*años+gracia-B332&gt;0,$L$2&lt;&gt;1),F333-G333,0)</f>
        <v>-16.55981234627518</v>
      </c>
      <c r="I333" s="62"/>
      <c r="J333" s="61">
        <f>J332-H333-I333</f>
        <v>-1295.0706517940166</v>
      </c>
      <c r="K333" s="61">
        <f>K332*(1+$J$17)^(1/12)</f>
        <v>19880.075217235371</v>
      </c>
      <c r="L333" s="31">
        <f t="shared" si="43"/>
        <v>16</v>
      </c>
      <c r="M333" s="31">
        <f t="shared" si="44"/>
        <v>-2.6666666666666661</v>
      </c>
      <c r="N333" s="31">
        <f t="shared" si="45"/>
        <v>-2.35</v>
      </c>
      <c r="O333" s="62"/>
      <c r="P333" s="31">
        <f>O333+N333+M333+L333+I333+F333</f>
        <v>-10.18632637099827</v>
      </c>
      <c r="Q333" s="31">
        <f>SUM($P$36:P333)</f>
        <v>-3519.5609739605184</v>
      </c>
      <c r="R333" s="83">
        <f t="shared" si="46"/>
        <v>-0.18850022171105935</v>
      </c>
      <c r="S333" s="31">
        <f>SUMPRODUCT($P$36:P333,$D$36:D333)/D333-Q333</f>
        <v>-3859.8758015491771</v>
      </c>
      <c r="T333" s="31">
        <f t="shared" si="40"/>
        <v>15065.443591480836</v>
      </c>
      <c r="U333" s="31">
        <f t="shared" si="41"/>
        <v>15686.683591480836</v>
      </c>
      <c r="V333" s="80" cm="1">
        <f t="array" ref="V333">IF($L$2&lt;&gt;1,IRR(IF(ROW($P$36:P333)=ROW(P333),P333+K333+J333,$P$36:P333),V332/12)*12,0)</f>
        <v>9.8827914099026692E-2</v>
      </c>
      <c r="W333" s="83">
        <f>(1+V333/12)^(B333)-1</f>
        <v>10.426939266891285</v>
      </c>
    </row>
    <row r="334" spans="2:23" x14ac:dyDescent="0.25">
      <c r="B334" s="33">
        <v>298</v>
      </c>
      <c r="C334" s="105">
        <f t="shared" si="39"/>
        <v>3.9789301544717048E-3</v>
      </c>
      <c r="D334" s="106">
        <f t="shared" si="42"/>
        <v>0.30624541951275497</v>
      </c>
      <c r="E334" s="60">
        <f>rate</f>
        <v>3.5145930840192463E-3</v>
      </c>
      <c r="F334" s="31">
        <f>IF(AND(B333&gt;=gracia,12*años+gracia-B333&gt;0,$L$2&lt;&gt;1),PMT(E333,12*años-B333+gracia,-J333),0)</f>
        <v>-21.169659704331607</v>
      </c>
      <c r="G334" s="31">
        <f>IF(AND(12*años+gracia-B333&gt;0,$L$2&lt;&gt;1),J333*E334,0)</f>
        <v>-4.5516463561115481</v>
      </c>
      <c r="H334" s="31">
        <f>IF(AND(12*años+gracia-B333&gt;0,$L$2&lt;&gt;1),F334-G334,0)</f>
        <v>-16.61801334822006</v>
      </c>
      <c r="I334" s="62"/>
      <c r="J334" s="61">
        <f>J333-H334-I334</f>
        <v>-1278.4526384457965</v>
      </c>
      <c r="K334" s="61">
        <f>K333*(1+$J$17)^(1/12)</f>
        <v>19976.842488598089</v>
      </c>
      <c r="L334" s="31">
        <f t="shared" si="43"/>
        <v>16</v>
      </c>
      <c r="M334" s="31">
        <f t="shared" si="44"/>
        <v>-2.6666666666666661</v>
      </c>
      <c r="N334" s="31">
        <f t="shared" si="45"/>
        <v>-2.35</v>
      </c>
      <c r="O334" s="62"/>
      <c r="P334" s="31">
        <f>O334+N334+M334+L334+I334+F334</f>
        <v>-10.186326370998273</v>
      </c>
      <c r="Q334" s="31">
        <f>SUM($P$36:P334)</f>
        <v>-3529.7473003315167</v>
      </c>
      <c r="R334" s="83">
        <f t="shared" si="46"/>
        <v>-0.18852794305294043</v>
      </c>
      <c r="S334" s="31">
        <f>SUMPRODUCT($P$36:P334,$D$36:D334)/D334-Q334</f>
        <v>-3889.2380650582695</v>
      </c>
      <c r="T334" s="31">
        <f t="shared" si="40"/>
        <v>15168.642549820775</v>
      </c>
      <c r="U334" s="31">
        <f t="shared" si="41"/>
        <v>15789.882549820775</v>
      </c>
      <c r="V334" s="80" cm="1">
        <f t="array" ref="V334">IF($L$2&lt;&gt;1,IRR(IF(ROW($P$36:P334)=ROW(P334),P334+K334+J334,$P$36:P334),V333/12)*12,0)</f>
        <v>9.8689584094754146E-2</v>
      </c>
      <c r="W334" s="83">
        <f>(1+V334/12)^(B334)-1</f>
        <v>10.481860453987901</v>
      </c>
    </row>
    <row r="335" spans="2:23" x14ac:dyDescent="0.25">
      <c r="B335" s="33">
        <v>299</v>
      </c>
      <c r="C335" s="105">
        <f t="shared" si="39"/>
        <v>3.9789301544717048E-3</v>
      </c>
      <c r="D335" s="106">
        <f t="shared" si="42"/>
        <v>0.30503171960554609</v>
      </c>
      <c r="E335" s="60">
        <f>rate</f>
        <v>3.5145930840192463E-3</v>
      </c>
      <c r="F335" s="31">
        <f>IF(AND(B334&gt;=gracia,12*años+gracia-B334&gt;0,$L$2&lt;&gt;1),PMT(E334,12*años-B334+gracia,-J334),0)</f>
        <v>-21.169659704331607</v>
      </c>
      <c r="G335" s="31">
        <f>IF(AND(12*años+gracia-B334&gt;0,$L$2&lt;&gt;1),J334*E335,0)</f>
        <v>-4.4932408013277545</v>
      </c>
      <c r="H335" s="31">
        <f>IF(AND(12*años+gracia-B334&gt;0,$L$2&lt;&gt;1),F335-G335,0)</f>
        <v>-16.676418903003853</v>
      </c>
      <c r="I335" s="62"/>
      <c r="J335" s="61">
        <f>J334-H335-I335</f>
        <v>-1261.7762195427927</v>
      </c>
      <c r="K335" s="61">
        <f>K334*(1+$J$17)^(1/12)</f>
        <v>20074.080779547236</v>
      </c>
      <c r="L335" s="31">
        <f t="shared" si="43"/>
        <v>16</v>
      </c>
      <c r="M335" s="31">
        <f t="shared" si="44"/>
        <v>-2.6666666666666661</v>
      </c>
      <c r="N335" s="31">
        <f t="shared" si="45"/>
        <v>-2.35</v>
      </c>
      <c r="O335" s="62"/>
      <c r="P335" s="31">
        <f>O335+N335+M335+L335+I335+F335</f>
        <v>-10.186326370998273</v>
      </c>
      <c r="Q335" s="31">
        <f>SUM($P$36:P335)</f>
        <v>-3539.9336267025151</v>
      </c>
      <c r="R335" s="83">
        <f t="shared" si="46"/>
        <v>-0.18855547896778554</v>
      </c>
      <c r="S335" s="31">
        <f>SUMPRODUCT($P$36:P335,$D$36:D335)/D335-Q335</f>
        <v>-3918.7576896442038</v>
      </c>
      <c r="T335" s="31">
        <f t="shared" si="40"/>
        <v>15272.370933301929</v>
      </c>
      <c r="U335" s="31">
        <f t="shared" si="41"/>
        <v>15893.610933301929</v>
      </c>
      <c r="V335" s="80" cm="1">
        <f t="array" ref="V335">IF($L$2&lt;&gt;1,IRR(IF(ROW($P$36:P335)=ROW(P335),P335+K335+J335,$P$36:P335),V334/12)*12,0)</f>
        <v>9.8552048799204428E-2</v>
      </c>
      <c r="W335" s="83">
        <f>(1+V335/12)^(B335)-1</f>
        <v>10.53700793176926</v>
      </c>
    </row>
    <row r="336" spans="2:23" x14ac:dyDescent="0.25">
      <c r="B336" s="33">
        <v>300</v>
      </c>
      <c r="C336" s="105">
        <f t="shared" si="39"/>
        <v>3.9789301544717048E-3</v>
      </c>
      <c r="D336" s="106">
        <f t="shared" si="42"/>
        <v>0.30382282978649172</v>
      </c>
      <c r="E336" s="60">
        <f>rate</f>
        <v>3.5145930840192463E-3</v>
      </c>
      <c r="F336" s="31">
        <f>IF(AND(B335&gt;=gracia,12*años+gracia-B335&gt;0,$L$2&lt;&gt;1),PMT(E335,12*años-B335+gracia,-J335),0)</f>
        <v>-21.169659704331607</v>
      </c>
      <c r="G336" s="31">
        <f>IF(AND(12*años+gracia-B335&gt;0,$L$2&lt;&gt;1),J335*E336,0)</f>
        <v>-4.4346299747850493</v>
      </c>
      <c r="H336" s="31">
        <f>IF(AND(12*años+gracia-B335&gt;0,$L$2&lt;&gt;1),F336-G336,0)</f>
        <v>-16.735029729546557</v>
      </c>
      <c r="I336" s="62"/>
      <c r="J336" s="61">
        <f>J335-H336-I336</f>
        <v>-1245.0411898132461</v>
      </c>
      <c r="K336" s="61">
        <f>K335*(1+$J$17)^(1/12)</f>
        <v>20171.792382794461</v>
      </c>
      <c r="L336" s="31">
        <f t="shared" si="43"/>
        <v>16</v>
      </c>
      <c r="M336" s="31">
        <f t="shared" si="44"/>
        <v>-2.6666666666666661</v>
      </c>
      <c r="N336" s="31">
        <f t="shared" si="45"/>
        <v>-2.35</v>
      </c>
      <c r="O336" s="62"/>
      <c r="P336" s="31">
        <f>O336+N336+M336+L336+I336+F336</f>
        <v>-10.186326370998273</v>
      </c>
      <c r="Q336" s="31">
        <f>SUM($P$36:P336)</f>
        <v>-3550.1199530735134</v>
      </c>
      <c r="R336" s="83">
        <f t="shared" si="46"/>
        <v>-0.188582831309865</v>
      </c>
      <c r="S336" s="31">
        <f>SUMPRODUCT($P$36:P336,$D$36:D336)/D336-Q336</f>
        <v>-3948.4353014357116</v>
      </c>
      <c r="T336" s="31">
        <f t="shared" si="40"/>
        <v>15376.631239907701</v>
      </c>
      <c r="U336" s="31">
        <f t="shared" si="41"/>
        <v>15997.871239907701</v>
      </c>
      <c r="V336" s="80" cm="1">
        <f t="array" ref="V336">IF($L$2&lt;&gt;1,IRR(IF(ROW($P$36:P336)=ROW(P336),P336+K336+J336,$P$36:P336),V335/12)*12,0)</f>
        <v>9.8415301674055655E-2</v>
      </c>
      <c r="W336" s="83">
        <f>(1+V336/12)^(B336)-1</f>
        <v>10.592382834217617</v>
      </c>
    </row>
    <row r="337" spans="2:23" x14ac:dyDescent="0.25">
      <c r="B337" s="33">
        <v>301</v>
      </c>
      <c r="C337" s="105">
        <f t="shared" si="39"/>
        <v>3.9789301544717048E-3</v>
      </c>
      <c r="D337" s="106">
        <f t="shared" si="42"/>
        <v>0.30261873099243797</v>
      </c>
      <c r="E337" s="60">
        <f>rate</f>
        <v>3.5145930840192463E-3</v>
      </c>
      <c r="F337" s="31">
        <f>IF(AND(B336&gt;=gracia,12*años+gracia-B336&gt;0,$L$2&lt;&gt;1),PMT(E336,12*años-B336+gracia,-J336),0)</f>
        <v>-21.169659704331607</v>
      </c>
      <c r="G337" s="31">
        <f>IF(AND(12*años+gracia-B336&gt;0,$L$2&lt;&gt;1),J336*E337,0)</f>
        <v>-4.3758131550367283</v>
      </c>
      <c r="H337" s="31">
        <f>IF(AND(12*años+gracia-B336&gt;0,$L$2&lt;&gt;1),F337-G337,0)</f>
        <v>-16.79384654929488</v>
      </c>
      <c r="I337" s="62"/>
      <c r="J337" s="61">
        <f>J336-H337-I337</f>
        <v>-1228.2473432639513</v>
      </c>
      <c r="K337" s="61">
        <f>K336*(1+$J$17)^(1/12)</f>
        <v>20269.979602211315</v>
      </c>
      <c r="L337" s="31">
        <f t="shared" si="43"/>
        <v>16</v>
      </c>
      <c r="M337" s="31">
        <f t="shared" si="44"/>
        <v>-2.6666666666666661</v>
      </c>
      <c r="N337" s="31">
        <f t="shared" si="45"/>
        <v>-2.35</v>
      </c>
      <c r="O337" s="62"/>
      <c r="P337" s="31">
        <f>O337+N337+M337+L337+I337+F337</f>
        <v>-10.186326370998273</v>
      </c>
      <c r="Q337" s="31">
        <f>SUM($P$36:P337)</f>
        <v>-3560.3062794445118</v>
      </c>
      <c r="R337" s="83">
        <f t="shared" si="46"/>
        <v>-0.18861000190880772</v>
      </c>
      <c r="S337" s="31">
        <f>SUMPRODUCT($P$36:P337,$D$36:D337)/D337-Q337</f>
        <v>-3978.271529052849</v>
      </c>
      <c r="T337" s="31">
        <f t="shared" si="40"/>
        <v>15481.425979502852</v>
      </c>
      <c r="U337" s="31">
        <f t="shared" si="41"/>
        <v>16102.665979502852</v>
      </c>
      <c r="V337" s="80" cm="1">
        <f t="array" ref="V337">IF($L$2&lt;&gt;1,IRR(IF(ROW($P$36:P337)=ROW(P337),P337+K337+J337,$P$36:P337),V336/12)*12,0)</f>
        <v>9.8279336251910543E-2</v>
      </c>
      <c r="W337" s="83">
        <f>(1+V337/12)^(B337)-1</f>
        <v>10.647986299749602</v>
      </c>
    </row>
    <row r="338" spans="2:23" x14ac:dyDescent="0.25">
      <c r="B338" s="33">
        <v>302</v>
      </c>
      <c r="C338" s="105">
        <f t="shared" si="39"/>
        <v>3.9789301544717048E-3</v>
      </c>
      <c r="D338" s="106">
        <f t="shared" si="42"/>
        <v>0.30141940423578134</v>
      </c>
      <c r="E338" s="60">
        <f>rate</f>
        <v>3.5145930840192463E-3</v>
      </c>
      <c r="F338" s="31">
        <f>IF(AND(B337&gt;=gracia,12*años+gracia-B337&gt;0,$L$2&lt;&gt;1),PMT(E337,12*años-B337+gracia,-J337),0)</f>
        <v>-21.169659704331607</v>
      </c>
      <c r="G338" s="31">
        <f>IF(AND(12*años+gracia-B337&gt;0,$L$2&lt;&gt;1),J337*E338,0)</f>
        <v>-4.3167896181004961</v>
      </c>
      <c r="H338" s="31">
        <f>IF(AND(12*años+gracia-B337&gt;0,$L$2&lt;&gt;1),F338-G338,0)</f>
        <v>-16.85287008623111</v>
      </c>
      <c r="I338" s="62"/>
      <c r="J338" s="61">
        <f>J337-H338-I338</f>
        <v>-1211.3944731777201</v>
      </c>
      <c r="K338" s="61">
        <f>K337*(1+$J$17)^(1/12)</f>
        <v>20368.644752883552</v>
      </c>
      <c r="L338" s="31">
        <f t="shared" si="43"/>
        <v>16</v>
      </c>
      <c r="M338" s="31">
        <f t="shared" si="44"/>
        <v>-2.6666666666666661</v>
      </c>
      <c r="N338" s="31">
        <f t="shared" si="45"/>
        <v>-2.35</v>
      </c>
      <c r="O338" s="62"/>
      <c r="P338" s="31">
        <f>O338+N338+M338+L338+I338+F338</f>
        <v>-10.186326370998273</v>
      </c>
      <c r="Q338" s="31">
        <f>SUM($P$36:P338)</f>
        <v>-3570.4926058155102</v>
      </c>
      <c r="R338" s="83">
        <f t="shared" si="46"/>
        <v>-0.18863699257000907</v>
      </c>
      <c r="S338" s="31">
        <f>SUMPRODUCT($P$36:P338,$D$36:D338)/D338-Q338</f>
        <v>-4008.2670036169106</v>
      </c>
      <c r="T338" s="31">
        <f t="shared" si="40"/>
        <v>15586.757673890323</v>
      </c>
      <c r="U338" s="31">
        <f t="shared" si="41"/>
        <v>16207.997673890322</v>
      </c>
      <c r="V338" s="80" cm="1">
        <f t="array" ref="V338">IF($L$2&lt;&gt;1,IRR(IF(ROW($P$36:P338)=ROW(P338),P338+K338+J338,$P$36:P338),V337/12)*12,0)</f>
        <v>9.8144146135350496E-2</v>
      </c>
      <c r="W338" s="83">
        <f>(1+V338/12)^(B338)-1</f>
        <v>10.70381947125019</v>
      </c>
    </row>
    <row r="339" spans="2:23" x14ac:dyDescent="0.25">
      <c r="B339" s="33">
        <v>303</v>
      </c>
      <c r="C339" s="105">
        <f t="shared" si="39"/>
        <v>3.9789301544717048E-3</v>
      </c>
      <c r="D339" s="106">
        <f t="shared" si="42"/>
        <v>0.30022483060416927</v>
      </c>
      <c r="E339" s="60">
        <f>rate</f>
        <v>3.5145930840192463E-3</v>
      </c>
      <c r="F339" s="31">
        <f>IF(AND(B338&gt;=gracia,12*años+gracia-B338&gt;0,$L$2&lt;&gt;1),PMT(E338,12*años-B338+gracia,-J338),0)</f>
        <v>-21.169659704331607</v>
      </c>
      <c r="G339" s="31">
        <f>IF(AND(12*años+gracia-B338&gt;0,$L$2&lt;&gt;1),J338*E339,0)</f>
        <v>-4.2575586374495531</v>
      </c>
      <c r="H339" s="31">
        <f>IF(AND(12*años+gracia-B338&gt;0,$L$2&lt;&gt;1),F339-G339,0)</f>
        <v>-16.912101066882055</v>
      </c>
      <c r="I339" s="62"/>
      <c r="J339" s="61">
        <f>J338-H339-I339</f>
        <v>-1194.482372110838</v>
      </c>
      <c r="K339" s="61">
        <f>K338*(1+$J$17)^(1/12)</f>
        <v>20467.790161165722</v>
      </c>
      <c r="L339" s="31">
        <f t="shared" si="43"/>
        <v>16</v>
      </c>
      <c r="M339" s="31">
        <f t="shared" si="44"/>
        <v>-2.6666666666666661</v>
      </c>
      <c r="N339" s="31">
        <f t="shared" si="45"/>
        <v>-2.35</v>
      </c>
      <c r="O339" s="62"/>
      <c r="P339" s="31">
        <f>O339+N339+M339+L339+I339+F339</f>
        <v>-10.186326370998273</v>
      </c>
      <c r="Q339" s="31">
        <f>SUM($P$36:P339)</f>
        <v>-3580.6789321865085</v>
      </c>
      <c r="R339" s="83">
        <f t="shared" si="46"/>
        <v>-0.18866380507503092</v>
      </c>
      <c r="S339" s="31">
        <f>SUMPRODUCT($P$36:P339,$D$36:D339)/D339-Q339</f>
        <v>-4038.4223587603724</v>
      </c>
      <c r="T339" s="31">
        <f t="shared" si="40"/>
        <v>15692.628856868374</v>
      </c>
      <c r="U339" s="31">
        <f t="shared" si="41"/>
        <v>16313.868856868374</v>
      </c>
      <c r="V339" s="80" cm="1">
        <f t="array" ref="V339">IF($L$2&lt;&gt;1,IRR(IF(ROW($P$36:P339)=ROW(P339),P339+K339+J339,$P$36:P339),V338/12)*12,0)</f>
        <v>9.8009724995987035E-2</v>
      </c>
      <c r="W339" s="83">
        <f>(1+V339/12)^(B339)-1</f>
        <v>10.759883496097451</v>
      </c>
    </row>
    <row r="340" spans="2:23" x14ac:dyDescent="0.25">
      <c r="B340" s="33">
        <v>304</v>
      </c>
      <c r="C340" s="105">
        <f t="shared" si="39"/>
        <v>3.9789301544717048E-3</v>
      </c>
      <c r="D340" s="106">
        <f t="shared" si="42"/>
        <v>0.29903499126020189</v>
      </c>
      <c r="E340" s="60">
        <f>rate</f>
        <v>3.5145930840192463E-3</v>
      </c>
      <c r="F340" s="31">
        <f>IF(AND(B339&gt;=gracia,12*años+gracia-B339&gt;0,$L$2&lt;&gt;1),PMT(E339,12*años-B339+gracia,-J339),0)</f>
        <v>-21.169659704331604</v>
      </c>
      <c r="G340" s="31">
        <f>IF(AND(12*años+gracia-B339&gt;0,$L$2&lt;&gt;1),J339*E340,0)</f>
        <v>-4.1981194840036551</v>
      </c>
      <c r="H340" s="31">
        <f>IF(AND(12*años+gracia-B339&gt;0,$L$2&lt;&gt;1),F340-G340,0)</f>
        <v>-16.971540220327949</v>
      </c>
      <c r="I340" s="62"/>
      <c r="J340" s="61">
        <f>J339-H340-I340</f>
        <v>-1177.51083189051</v>
      </c>
      <c r="K340" s="61">
        <f>K339*(1+$J$17)^(1/12)</f>
        <v>20567.418164736027</v>
      </c>
      <c r="L340" s="31">
        <f t="shared" si="43"/>
        <v>16</v>
      </c>
      <c r="M340" s="31">
        <f t="shared" si="44"/>
        <v>-2.6666666666666661</v>
      </c>
      <c r="N340" s="31">
        <f t="shared" si="45"/>
        <v>-2.35</v>
      </c>
      <c r="O340" s="62"/>
      <c r="P340" s="31">
        <f>O340+N340+M340+L340+I340+F340</f>
        <v>-10.18632637099827</v>
      </c>
      <c r="Q340" s="31">
        <f>SUM($P$36:P340)</f>
        <v>-3590.8652585575069</v>
      </c>
      <c r="R340" s="83">
        <f t="shared" si="46"/>
        <v>-0.18869044118199338</v>
      </c>
      <c r="S340" s="31">
        <f>SUMPRODUCT($P$36:P340,$D$36:D340)/D340-Q340</f>
        <v>-4068.738230636895</v>
      </c>
      <c r="T340" s="31">
        <f t="shared" si="40"/>
        <v>15799.042074288011</v>
      </c>
      <c r="U340" s="31">
        <f t="shared" si="41"/>
        <v>16420.28207428801</v>
      </c>
      <c r="V340" s="80" cm="1">
        <f t="array" ref="V340">IF($L$2&lt;&gt;1,IRR(IF(ROW($P$36:P340)=ROW(P340),P340+K340+J340,$P$36:P340),V339/12)*12,0)</f>
        <v>9.7876066573537202E-2</v>
      </c>
      <c r="W340" s="83">
        <f>(1+V340/12)^(B340)-1</f>
        <v>10.816179526194917</v>
      </c>
    </row>
    <row r="341" spans="2:23" x14ac:dyDescent="0.25">
      <c r="B341" s="33">
        <v>305</v>
      </c>
      <c r="C341" s="105">
        <f t="shared" si="39"/>
        <v>3.9789301544717048E-3</v>
      </c>
      <c r="D341" s="106">
        <f t="shared" si="42"/>
        <v>0.29784986744113495</v>
      </c>
      <c r="E341" s="60">
        <f>rate</f>
        <v>3.5145930840192463E-3</v>
      </c>
      <c r="F341" s="31">
        <f>IF(AND(B340&gt;=gracia,12*años+gracia-B340&gt;0,$L$2&lt;&gt;1),PMT(E340,12*años-B340+gracia,-J340),0)</f>
        <v>-21.169659704331607</v>
      </c>
      <c r="G341" s="31">
        <f>IF(AND(12*años+gracia-B340&gt;0,$L$2&lt;&gt;1),J340*E341,0)</f>
        <v>-4.1384714261201356</v>
      </c>
      <c r="H341" s="31">
        <f>IF(AND(12*años+gracia-B340&gt;0,$L$2&lt;&gt;1),F341-G341,0)</f>
        <v>-17.031188278211474</v>
      </c>
      <c r="I341" s="62"/>
      <c r="J341" s="61">
        <f>J340-H341-I341</f>
        <v>-1160.4796436122986</v>
      </c>
      <c r="K341" s="61">
        <f>K340*(1+$J$17)^(1/12)</f>
        <v>20667.531112651435</v>
      </c>
      <c r="L341" s="31">
        <f t="shared" si="43"/>
        <v>16</v>
      </c>
      <c r="M341" s="31">
        <f t="shared" si="44"/>
        <v>-2.6666666666666661</v>
      </c>
      <c r="N341" s="31">
        <f t="shared" si="45"/>
        <v>-2.35</v>
      </c>
      <c r="O341" s="62"/>
      <c r="P341" s="31">
        <f>O341+N341+M341+L341+I341+F341</f>
        <v>-10.186326370998273</v>
      </c>
      <c r="Q341" s="31">
        <f>SUM($P$36:P341)</f>
        <v>-3601.0515849285052</v>
      </c>
      <c r="R341" s="83">
        <f t="shared" si="46"/>
        <v>-0.18871690262595939</v>
      </c>
      <c r="S341" s="31">
        <f>SUMPRODUCT($P$36:P341,$D$36:D341)/D341-Q341</f>
        <v>-4099.2152579313461</v>
      </c>
      <c r="T341" s="31">
        <f t="shared" si="40"/>
        <v>15905.999884110632</v>
      </c>
      <c r="U341" s="31">
        <f t="shared" si="41"/>
        <v>16527.239884110633</v>
      </c>
      <c r="V341" s="80" cm="1">
        <f t="array" ref="V341">IF($L$2&lt;&gt;1,IRR(IF(ROW($P$36:P341)=ROW(P341),P341+K341+J341,$P$36:P341),V340/12)*12,0)</f>
        <v>9.7743164674933602E-2</v>
      </c>
      <c r="W341" s="83">
        <f>(1+V341/12)^(B341)-1</f>
        <v>10.872708718007349</v>
      </c>
    </row>
    <row r="342" spans="2:23" x14ac:dyDescent="0.25">
      <c r="B342" s="33">
        <v>306</v>
      </c>
      <c r="C342" s="105">
        <f t="shared" si="39"/>
        <v>3.9789301544717048E-3</v>
      </c>
      <c r="D342" s="106">
        <f t="shared" si="42"/>
        <v>0.29666944045858407</v>
      </c>
      <c r="E342" s="60">
        <f>rate</f>
        <v>3.5145930840192463E-3</v>
      </c>
      <c r="F342" s="31">
        <f>IF(AND(B341&gt;=gracia,12*años+gracia-B341&gt;0,$L$2&lt;&gt;1),PMT(E341,12*años-B341+gracia,-J341),0)</f>
        <v>-21.169659704331604</v>
      </c>
      <c r="G342" s="31">
        <f>IF(AND(12*años+gracia-B341&gt;0,$L$2&lt;&gt;1),J341*E342,0)</f>
        <v>-4.0786137295849043</v>
      </c>
      <c r="H342" s="31">
        <f>IF(AND(12*años+gracia-B341&gt;0,$L$2&lt;&gt;1),F342-G342,0)</f>
        <v>-17.091045974746699</v>
      </c>
      <c r="I342" s="62"/>
      <c r="J342" s="61">
        <f>J341-H342-I342</f>
        <v>-1143.3885976375518</v>
      </c>
      <c r="K342" s="61">
        <f>K341*(1+$J$17)^(1/12)</f>
        <v>20768.131365403067</v>
      </c>
      <c r="L342" s="31">
        <f t="shared" si="43"/>
        <v>16</v>
      </c>
      <c r="M342" s="31">
        <f t="shared" si="44"/>
        <v>-2.6666666666666661</v>
      </c>
      <c r="N342" s="31">
        <f t="shared" si="45"/>
        <v>-2.35</v>
      </c>
      <c r="O342" s="62"/>
      <c r="P342" s="31">
        <f>O342+N342+M342+L342+I342+F342</f>
        <v>-10.18632637099827</v>
      </c>
      <c r="Q342" s="31">
        <f>SUM($P$36:P342)</f>
        <v>-3611.2379112995036</v>
      </c>
      <c r="R342" s="83">
        <f t="shared" si="46"/>
        <v>-0.18874319111931123</v>
      </c>
      <c r="S342" s="31">
        <f>SUMPRODUCT($P$36:P342,$D$36:D342)/D342-Q342</f>
        <v>-4129.8540818698802</v>
      </c>
      <c r="T342" s="31">
        <f t="shared" si="40"/>
        <v>16013.504856466012</v>
      </c>
      <c r="U342" s="31">
        <f t="shared" si="41"/>
        <v>16634.744856466012</v>
      </c>
      <c r="V342" s="80" cm="1">
        <f t="array" ref="V342">IF($L$2&lt;&gt;1,IRR(IF(ROW($P$36:P342)=ROW(P342),P342+K342+J342,$P$36:P342),V341/12)*12,0)</f>
        <v>9.7611013173391825E-2</v>
      </c>
      <c r="W342" s="83">
        <f>(1+V342/12)^(B342)-1</f>
        <v>10.929472232579029</v>
      </c>
    </row>
    <row r="343" spans="2:23" x14ac:dyDescent="0.25">
      <c r="B343" s="33">
        <v>307</v>
      </c>
      <c r="C343" s="105">
        <f t="shared" si="39"/>
        <v>3.9789301544717048E-3</v>
      </c>
      <c r="D343" s="106">
        <f t="shared" si="42"/>
        <v>0.29549369169822981</v>
      </c>
      <c r="E343" s="60">
        <f>rate</f>
        <v>3.5145930840192463E-3</v>
      </c>
      <c r="F343" s="31">
        <f>IF(AND(B342&gt;=gracia,12*años+gracia-B342&gt;0,$L$2&lt;&gt;1),PMT(E342,12*años-B342+gracia,-J342),0)</f>
        <v>-21.169659704331604</v>
      </c>
      <c r="G343" s="31">
        <f>IF(AND(12*años+gracia-B342&gt;0,$L$2&lt;&gt;1),J342*E343,0)</f>
        <v>-4.0185456576034042</v>
      </c>
      <c r="H343" s="31">
        <f>IF(AND(12*años+gracia-B342&gt;0,$L$2&lt;&gt;1),F343-G343,0)</f>
        <v>-17.1511140467282</v>
      </c>
      <c r="I343" s="62"/>
      <c r="J343" s="61">
        <f>J342-H343-I343</f>
        <v>-1126.2374835908236</v>
      </c>
      <c r="K343" s="61">
        <f>K342*(1+$J$17)^(1/12)</f>
        <v>20869.221294971852</v>
      </c>
      <c r="L343" s="31">
        <f t="shared" si="43"/>
        <v>16</v>
      </c>
      <c r="M343" s="31">
        <f t="shared" si="44"/>
        <v>-2.6666666666666661</v>
      </c>
      <c r="N343" s="31">
        <f t="shared" si="45"/>
        <v>-2.35</v>
      </c>
      <c r="O343" s="62"/>
      <c r="P343" s="31">
        <f>O343+N343+M343+L343+I343+F343</f>
        <v>-10.18632637099827</v>
      </c>
      <c r="Q343" s="31">
        <f>SUM($P$36:P343)</f>
        <v>-3621.424237670502</v>
      </c>
      <c r="R343" s="83">
        <f t="shared" si="46"/>
        <v>-0.18876930835212011</v>
      </c>
      <c r="S343" s="31">
        <f>SUMPRODUCT($P$36:P343,$D$36:D343)/D343-Q343</f>
        <v>-4160.6553462300417</v>
      </c>
      <c r="T343" s="31">
        <f t="shared" si="40"/>
        <v>16121.559573710527</v>
      </c>
      <c r="U343" s="31">
        <f t="shared" si="41"/>
        <v>16742.799573710527</v>
      </c>
      <c r="V343" s="80" cm="1">
        <f t="array" ref="V343">IF($L$2&lt;&gt;1,IRR(IF(ROW($P$36:P343)=ROW(P343),P343+K343+J343,$P$36:P343),V342/12)*12,0)</f>
        <v>9.74796060075791E-2</v>
      </c>
      <c r="W343" s="83">
        <f>(1+V343/12)^(B343)-1</f>
        <v>10.98647123557906</v>
      </c>
    </row>
    <row r="344" spans="2:23" x14ac:dyDescent="0.25">
      <c r="B344" s="33">
        <v>308</v>
      </c>
      <c r="C344" s="105">
        <f t="shared" si="39"/>
        <v>3.9789301544717048E-3</v>
      </c>
      <c r="D344" s="106">
        <f t="shared" si="42"/>
        <v>0.29432260261952436</v>
      </c>
      <c r="E344" s="60">
        <f>rate</f>
        <v>3.5145930840192463E-3</v>
      </c>
      <c r="F344" s="31">
        <f>IF(AND(B343&gt;=gracia,12*años+gracia-B343&gt;0,$L$2&lt;&gt;1),PMT(E343,12*años-B343+gracia,-J343),0)</f>
        <v>-21.169659704331604</v>
      </c>
      <c r="G344" s="31">
        <f>IF(AND(12*años+gracia-B343&gt;0,$L$2&lt;&gt;1),J343*E344,0)</f>
        <v>-3.958266470791548</v>
      </c>
      <c r="H344" s="31">
        <f>IF(AND(12*años+gracia-B343&gt;0,$L$2&lt;&gt;1),F344-G344,0)</f>
        <v>-17.211393233540058</v>
      </c>
      <c r="I344" s="62"/>
      <c r="J344" s="61">
        <f>J343-H344-I344</f>
        <v>-1109.0260903572835</v>
      </c>
      <c r="K344" s="61">
        <f>K343*(1+$J$17)^(1/12)</f>
        <v>20970.803284884463</v>
      </c>
      <c r="L344" s="31">
        <f t="shared" si="43"/>
        <v>16</v>
      </c>
      <c r="M344" s="31">
        <f t="shared" si="44"/>
        <v>-2.6666666666666661</v>
      </c>
      <c r="N344" s="31">
        <f t="shared" si="45"/>
        <v>-2.35</v>
      </c>
      <c r="O344" s="62"/>
      <c r="P344" s="31">
        <f>O344+N344+M344+L344+I344+F344</f>
        <v>-10.18632637099827</v>
      </c>
      <c r="Q344" s="31">
        <f>SUM($P$36:P344)</f>
        <v>-3631.6105640415003</v>
      </c>
      <c r="R344" s="83">
        <f t="shared" si="46"/>
        <v>-0.18879525599250807</v>
      </c>
      <c r="S344" s="31">
        <f>SUMPRODUCT($P$36:P344,$D$36:D344)/D344-Q344</f>
        <v>-4191.6196973509213</v>
      </c>
      <c r="T344" s="31">
        <f t="shared" si="40"/>
        <v>16230.166630485679</v>
      </c>
      <c r="U344" s="31">
        <f t="shared" si="41"/>
        <v>16851.406630485679</v>
      </c>
      <c r="V344" s="80" cm="1">
        <f t="array" ref="V344">IF($L$2&lt;&gt;1,IRR(IF(ROW($P$36:P344)=ROW(P344),P344+K344+J344,$P$36:P344),V343/12)*12,0)</f>
        <v>9.7348937180708361E-2</v>
      </c>
      <c r="W344" s="83">
        <f>(1+V344/12)^(B344)-1</f>
        <v>11.043706897320105</v>
      </c>
    </row>
    <row r="345" spans="2:23" x14ac:dyDescent="0.25">
      <c r="B345" s="33">
        <v>309</v>
      </c>
      <c r="C345" s="105">
        <f t="shared" si="39"/>
        <v>3.9789301544717048E-3</v>
      </c>
      <c r="D345" s="106">
        <f t="shared" si="42"/>
        <v>0.29315615475539913</v>
      </c>
      <c r="E345" s="60">
        <f>rate</f>
        <v>3.5145930840192463E-3</v>
      </c>
      <c r="F345" s="31">
        <f>IF(AND(B344&gt;=gracia,12*años+gracia-B344&gt;0,$L$2&lt;&gt;1),PMT(E344,12*años-B344+gracia,-J344),0)</f>
        <v>-21.169659704331604</v>
      </c>
      <c r="G345" s="31">
        <f>IF(AND(12*años+gracia-B344&gt;0,$L$2&lt;&gt;1),J344*E345,0)</f>
        <v>-3.8977754271666121</v>
      </c>
      <c r="H345" s="31">
        <f>IF(AND(12*años+gracia-B344&gt;0,$L$2&lt;&gt;1),F345-G345,0)</f>
        <v>-17.271884277164993</v>
      </c>
      <c r="I345" s="62"/>
      <c r="J345" s="61">
        <f>J344-H345-I345</f>
        <v>-1091.7542060801184</v>
      </c>
      <c r="K345" s="61">
        <f>K344*(1+$J$17)^(1/12)</f>
        <v>21072.879730269502</v>
      </c>
      <c r="L345" s="31">
        <f t="shared" si="43"/>
        <v>16</v>
      </c>
      <c r="M345" s="31">
        <f t="shared" si="44"/>
        <v>-2.6666666666666661</v>
      </c>
      <c r="N345" s="31">
        <f t="shared" si="45"/>
        <v>-2.35</v>
      </c>
      <c r="O345" s="62"/>
      <c r="P345" s="31">
        <f>O345+N345+M345+L345+I345+F345</f>
        <v>-10.18632637099827</v>
      </c>
      <c r="Q345" s="31">
        <f>SUM($P$36:P345)</f>
        <v>-3641.7968904124987</v>
      </c>
      <c r="R345" s="83">
        <f t="shared" si="46"/>
        <v>-0.18882103568700359</v>
      </c>
      <c r="S345" s="31">
        <f>SUMPRODUCT($P$36:P345,$D$36:D345)/D345-Q345</f>
        <v>-4222.747784143352</v>
      </c>
      <c r="T345" s="31">
        <f t="shared" si="40"/>
        <v>16339.328633776884</v>
      </c>
      <c r="U345" s="31">
        <f t="shared" si="41"/>
        <v>16960.568633776886</v>
      </c>
      <c r="V345" s="80" cm="1">
        <f t="array" ref="V345">IF($L$2&lt;&gt;1,IRR(IF(ROW($P$36:P345)=ROW(P345),P345+K345+J345,$P$36:P345),V344/12)*12,0)</f>
        <v>9.7219000759693586E-2</v>
      </c>
      <c r="W345" s="83">
        <f>(1+V345/12)^(B345)-1</f>
        <v>11.101180392792045</v>
      </c>
    </row>
    <row r="346" spans="2:23" x14ac:dyDescent="0.25">
      <c r="B346" s="33">
        <v>310</v>
      </c>
      <c r="C346" s="105">
        <f t="shared" si="39"/>
        <v>3.9789301544717048E-3</v>
      </c>
      <c r="D346" s="106">
        <f t="shared" si="42"/>
        <v>0.29199432971197342</v>
      </c>
      <c r="E346" s="60">
        <f>rate</f>
        <v>3.5145930840192463E-3</v>
      </c>
      <c r="F346" s="31">
        <f>IF(AND(B345&gt;=gracia,12*años+gracia-B345&gt;0,$L$2&lt;&gt;1),PMT(E345,12*años-B345+gracia,-J345),0)</f>
        <v>-21.1696597043316</v>
      </c>
      <c r="G346" s="31">
        <f>IF(AND(12*años+gracia-B345&gt;0,$L$2&lt;&gt;1),J345*E346,0)</f>
        <v>-3.8370717821381071</v>
      </c>
      <c r="H346" s="31">
        <f>IF(AND(12*años+gracia-B345&gt;0,$L$2&lt;&gt;1),F346-G346,0)</f>
        <v>-17.332587922193493</v>
      </c>
      <c r="I346" s="62"/>
      <c r="J346" s="61">
        <f>J345-H346-I346</f>
        <v>-1074.421618157925</v>
      </c>
      <c r="K346" s="61">
        <f>K345*(1+$J$17)^(1/12)</f>
        <v>21175.45303791398</v>
      </c>
      <c r="L346" s="31">
        <f t="shared" si="43"/>
        <v>16</v>
      </c>
      <c r="M346" s="31">
        <f t="shared" si="44"/>
        <v>-2.6666666666666661</v>
      </c>
      <c r="N346" s="31">
        <f t="shared" si="45"/>
        <v>-2.35</v>
      </c>
      <c r="O346" s="62"/>
      <c r="P346" s="31">
        <f>O346+N346+M346+L346+I346+F346</f>
        <v>-10.186326370998266</v>
      </c>
      <c r="Q346" s="31">
        <f>SUM($P$36:P346)</f>
        <v>-3651.983216783497</v>
      </c>
      <c r="R346" s="83">
        <f t="shared" si="46"/>
        <v>-0.18884664906088944</v>
      </c>
      <c r="S346" s="31">
        <f>SUMPRODUCT($P$36:P346,$D$36:D346)/D346-Q346</f>
        <v>-4254.0402581001308</v>
      </c>
      <c r="T346" s="31">
        <f t="shared" si="40"/>
        <v>16449.048202972557</v>
      </c>
      <c r="U346" s="31">
        <f t="shared" si="41"/>
        <v>17070.288202972559</v>
      </c>
      <c r="V346" s="80" cm="1">
        <f t="array" ref="V346">IF($L$2&lt;&gt;1,IRR(IF(ROW($P$36:P346)=ROW(P346),P346+K346+J346,$P$36:P346),V345/12)*12,0)</f>
        <v>9.7089790874329118E-2</v>
      </c>
      <c r="W346" s="83">
        <f>(1+V346/12)^(B346)-1</f>
        <v>11.158892901697319</v>
      </c>
    </row>
    <row r="347" spans="2:23" x14ac:dyDescent="0.25">
      <c r="B347" s="33">
        <v>311</v>
      </c>
      <c r="C347" s="105">
        <f t="shared" si="39"/>
        <v>3.9789301544717048E-3</v>
      </c>
      <c r="D347" s="106">
        <f t="shared" si="42"/>
        <v>0.29083710916826444</v>
      </c>
      <c r="E347" s="60">
        <f>rate</f>
        <v>3.5145930840192463E-3</v>
      </c>
      <c r="F347" s="31">
        <f>IF(AND(B346&gt;=gracia,12*años+gracia-B346&gt;0,$L$2&lt;&gt;1),PMT(E346,12*años-B346+gracia,-J346),0)</f>
        <v>-21.1696597043316</v>
      </c>
      <c r="G347" s="31">
        <f>IF(AND(12*años+gracia-B346&gt;0,$L$2&lt;&gt;1),J346*E347,0)</f>
        <v>-3.7761547884986104</v>
      </c>
      <c r="H347" s="31">
        <f>IF(AND(12*años+gracia-B346&gt;0,$L$2&lt;&gt;1),F347-G347,0)</f>
        <v>-17.393504915832992</v>
      </c>
      <c r="I347" s="62"/>
      <c r="J347" s="61">
        <f>J346-H347-I347</f>
        <v>-1057.0281132420919</v>
      </c>
      <c r="K347" s="61">
        <f>K346*(1+$J$17)^(1/12)</f>
        <v>21278.525626320072</v>
      </c>
      <c r="L347" s="31">
        <f t="shared" si="43"/>
        <v>16</v>
      </c>
      <c r="M347" s="31">
        <f t="shared" si="44"/>
        <v>-2.6666666666666661</v>
      </c>
      <c r="N347" s="31">
        <f t="shared" si="45"/>
        <v>-2.35</v>
      </c>
      <c r="O347" s="62"/>
      <c r="P347" s="31">
        <f>O347+N347+M347+L347+I347+F347</f>
        <v>-10.186326370998266</v>
      </c>
      <c r="Q347" s="31">
        <f>SUM($P$36:P347)</f>
        <v>-3662.1695431544954</v>
      </c>
      <c r="R347" s="83">
        <f t="shared" si="46"/>
        <v>-0.18887209771854457</v>
      </c>
      <c r="S347" s="31">
        <f>SUMPRODUCT($P$36:P347,$D$36:D347)/D347-Q347</f>
        <v>-4285.4977733063079</v>
      </c>
      <c r="T347" s="31">
        <f t="shared" si="40"/>
        <v>16559.327969923484</v>
      </c>
      <c r="U347" s="31">
        <f t="shared" si="41"/>
        <v>17180.567969923486</v>
      </c>
      <c r="V347" s="80" cm="1">
        <f t="array" ref="V347">IF($L$2&lt;&gt;1,IRR(IF(ROW($P$36:P347)=ROW(P347),P347+K347+J347,$P$36:P347),V346/12)*12,0)</f>
        <v>9.6961301716437021E-2</v>
      </c>
      <c r="W347" s="83">
        <f>(1+V347/12)^(B347)-1</f>
        <v>11.216845608473646</v>
      </c>
    </row>
    <row r="348" spans="2:23" x14ac:dyDescent="0.25">
      <c r="B348" s="33">
        <v>312</v>
      </c>
      <c r="C348" s="105">
        <f t="shared" si="39"/>
        <v>3.9789301544717048E-3</v>
      </c>
      <c r="D348" s="106">
        <f t="shared" si="42"/>
        <v>0.28968447487589843</v>
      </c>
      <c r="E348" s="60">
        <f>rate</f>
        <v>3.5145930840192463E-3</v>
      </c>
      <c r="F348" s="31">
        <f>IF(AND(B347&gt;=gracia,12*años+gracia-B347&gt;0,$L$2&lt;&gt;1),PMT(E347,12*años-B347+gracia,-J347),0)</f>
        <v>-21.1696597043316</v>
      </c>
      <c r="G348" s="31">
        <f>IF(AND(12*años+gracia-B347&gt;0,$L$2&lt;&gt;1),J347*E348,0)</f>
        <v>-3.7150236964145686</v>
      </c>
      <c r="H348" s="31">
        <f>IF(AND(12*años+gracia-B347&gt;0,$L$2&lt;&gt;1),F348-G348,0)</f>
        <v>-17.454636007917031</v>
      </c>
      <c r="I348" s="62"/>
      <c r="J348" s="61">
        <f>J347-H348-I348</f>
        <v>-1039.5734772341748</v>
      </c>
      <c r="K348" s="61">
        <f>K347*(1+$J$17)^(1/12)</f>
        <v>21382.099925762133</v>
      </c>
      <c r="L348" s="31">
        <f t="shared" si="43"/>
        <v>16</v>
      </c>
      <c r="M348" s="31">
        <f t="shared" si="44"/>
        <v>-2.6666666666666661</v>
      </c>
      <c r="N348" s="31">
        <f t="shared" si="45"/>
        <v>-2.35</v>
      </c>
      <c r="O348" s="62"/>
      <c r="P348" s="31">
        <f>O348+N348+M348+L348+I348+F348</f>
        <v>-10.186326370998266</v>
      </c>
      <c r="Q348" s="31">
        <f>SUM($P$36:P348)</f>
        <v>-3672.3558695254937</v>
      </c>
      <c r="R348" s="83">
        <f t="shared" si="46"/>
        <v>-0.18889738324377878</v>
      </c>
      <c r="S348" s="31">
        <f>SUMPRODUCT($P$36:P348,$D$36:D348)/D348-Q348</f>
        <v>-4317.1209864494813</v>
      </c>
      <c r="T348" s="31">
        <f t="shared" si="40"/>
        <v>16670.170579002464</v>
      </c>
      <c r="U348" s="31">
        <f t="shared" si="41"/>
        <v>17291.410579002466</v>
      </c>
      <c r="V348" s="80" cm="1">
        <f t="array" ref="V348">IF($L$2&lt;&gt;1,IRR(IF(ROW($P$36:P348)=ROW(P348),P348+K348+J348,$P$36:P348),V347/12)*12,0)</f>
        <v>9.6833527539081032E-2</v>
      </c>
      <c r="W348" s="83">
        <f>(1+V348/12)^(B348)-1</f>
        <v>11.275039702333347</v>
      </c>
    </row>
    <row r="349" spans="2:23" x14ac:dyDescent="0.25">
      <c r="B349" s="33">
        <v>313</v>
      </c>
      <c r="C349" s="105">
        <f t="shared" si="39"/>
        <v>3.9789301544717048E-3</v>
      </c>
      <c r="D349" s="106">
        <f t="shared" si="42"/>
        <v>0.28853640865882285</v>
      </c>
      <c r="E349" s="60">
        <f>rate</f>
        <v>3.5145930840192463E-3</v>
      </c>
      <c r="F349" s="31">
        <f>IF(AND(B348&gt;=gracia,12*años+gracia-B348&gt;0,$L$2&lt;&gt;1),PMT(E348,12*años-B348+gracia,-J348),0)</f>
        <v>-21.169659704331597</v>
      </c>
      <c r="G349" s="31">
        <f>IF(AND(12*años+gracia-B348&gt;0,$L$2&lt;&gt;1),J348*E349,0)</f>
        <v>-3.6536777534170701</v>
      </c>
      <c r="H349" s="31">
        <f>IF(AND(12*años+gracia-B348&gt;0,$L$2&lt;&gt;1),F349-G349,0)</f>
        <v>-17.515981950914526</v>
      </c>
      <c r="I349" s="62"/>
      <c r="J349" s="61">
        <f>J348-H349-I349</f>
        <v>-1022.0574952832602</v>
      </c>
      <c r="K349" s="61">
        <f>K348*(1+$J$17)^(1/12)</f>
        <v>21486.178378343997</v>
      </c>
      <c r="L349" s="31">
        <f t="shared" si="43"/>
        <v>16</v>
      </c>
      <c r="M349" s="31">
        <f t="shared" si="44"/>
        <v>-2.6666666666666661</v>
      </c>
      <c r="N349" s="31">
        <f t="shared" si="45"/>
        <v>-2.35</v>
      </c>
      <c r="O349" s="62"/>
      <c r="P349" s="31">
        <f>O349+N349+M349+L349+I349+F349</f>
        <v>-10.186326370998263</v>
      </c>
      <c r="Q349" s="31">
        <f>SUM($P$36:P349)</f>
        <v>-3682.5421958964921</v>
      </c>
      <c r="R349" s="83">
        <f t="shared" si="46"/>
        <v>-0.18892250720016165</v>
      </c>
      <c r="S349" s="31">
        <f>SUMPRODUCT($P$36:P349,$D$36:D349)/D349-Q349</f>
        <v>-4348.9105568301748</v>
      </c>
      <c r="T349" s="31">
        <f t="shared" si="40"/>
        <v>16781.578687164245</v>
      </c>
      <c r="U349" s="31">
        <f t="shared" si="41"/>
        <v>17402.818687164247</v>
      </c>
      <c r="V349" s="80" cm="1">
        <f t="array" ref="V349">IF($L$2&lt;&gt;1,IRR(IF(ROW($P$36:P349)=ROW(P349),P349+K349+J349,$P$36:P349),V348/12)*12,0)</f>
        <v>9.6706462655727243E-2</v>
      </c>
      <c r="W349" s="83">
        <f>(1+V349/12)^(B349)-1</f>
        <v>11.333476377281739</v>
      </c>
    </row>
    <row r="350" spans="2:23" x14ac:dyDescent="0.25">
      <c r="B350" s="33">
        <v>314</v>
      </c>
      <c r="C350" s="105">
        <f t="shared" si="39"/>
        <v>3.9789301544717048E-3</v>
      </c>
      <c r="D350" s="106">
        <f t="shared" si="42"/>
        <v>0.28739289241301985</v>
      </c>
      <c r="E350" s="60">
        <f>rate</f>
        <v>3.5145930840192463E-3</v>
      </c>
      <c r="F350" s="31">
        <f>IF(AND(B349&gt;=gracia,12*años+gracia-B349&gt;0,$L$2&lt;&gt;1),PMT(E349,12*años-B349+gracia,-J349),0)</f>
        <v>-21.169659704331597</v>
      </c>
      <c r="G350" s="31">
        <f>IF(AND(12*años+gracia-B349&gt;0,$L$2&lt;&gt;1),J349*E350,0)</f>
        <v>-3.5921162043925796</v>
      </c>
      <c r="H350" s="31">
        <f>IF(AND(12*años+gracia-B349&gt;0,$L$2&lt;&gt;1),F350-G350,0)</f>
        <v>-17.577543499939019</v>
      </c>
      <c r="I350" s="62"/>
      <c r="J350" s="61">
        <f>J349-H350-I350</f>
        <v>-1004.4799517833212</v>
      </c>
      <c r="K350" s="61">
        <f>K349*(1+$J$17)^(1/12)</f>
        <v>21590.763438056565</v>
      </c>
      <c r="L350" s="31">
        <f t="shared" si="43"/>
        <v>16</v>
      </c>
      <c r="M350" s="31">
        <f t="shared" si="44"/>
        <v>-2.6666666666666661</v>
      </c>
      <c r="N350" s="31">
        <f t="shared" si="45"/>
        <v>-2.35</v>
      </c>
      <c r="O350" s="62"/>
      <c r="P350" s="31">
        <f>O350+N350+M350+L350+I350+F350</f>
        <v>-10.186326370998263</v>
      </c>
      <c r="Q350" s="31">
        <f>SUM($P$36:P350)</f>
        <v>-3692.7285222674905</v>
      </c>
      <c r="R350" s="83">
        <f t="shared" si="46"/>
        <v>-0.18894747113134466</v>
      </c>
      <c r="S350" s="31">
        <f>SUMPRODUCT($P$36:P350,$D$36:D350)/D350-Q350</f>
        <v>-4380.8671463722148</v>
      </c>
      <c r="T350" s="31">
        <f t="shared" si="40"/>
        <v>16893.554964005754</v>
      </c>
      <c r="U350" s="31">
        <f t="shared" si="41"/>
        <v>17514.794964005756</v>
      </c>
      <c r="V350" s="80" cm="1">
        <f t="array" ref="V350">IF($L$2&lt;&gt;1,IRR(IF(ROW($P$36:P350)=ROW(P350),P350+K350+J350,$P$36:P350),V349/12)*12,0)</f>
        <v>9.6580101439500687E-2</v>
      </c>
      <c r="W350" s="83">
        <f>(1+V350/12)^(B350)-1</f>
        <v>11.392156832163099</v>
      </c>
    </row>
    <row r="351" spans="2:23" x14ac:dyDescent="0.25">
      <c r="B351" s="33">
        <v>315</v>
      </c>
      <c r="C351" s="105">
        <f t="shared" si="39"/>
        <v>3.9789301544717048E-3</v>
      </c>
      <c r="D351" s="106">
        <f t="shared" si="42"/>
        <v>0.28625390810622064</v>
      </c>
      <c r="E351" s="60">
        <f>rate</f>
        <v>3.5145930840192463E-3</v>
      </c>
      <c r="F351" s="31">
        <f>IF(AND(B350&gt;=gracia,12*años+gracia-B350&gt;0,$L$2&lt;&gt;1),PMT(E350,12*años-B350+gracia,-J350),0)</f>
        <v>-21.169659704331597</v>
      </c>
      <c r="G351" s="31">
        <f>IF(AND(12*años+gracia-B350&gt;0,$L$2&lt;&gt;1),J350*E351,0)</f>
        <v>-3.5303382915736465</v>
      </c>
      <c r="H351" s="31">
        <f>IF(AND(12*años+gracia-B350&gt;0,$L$2&lt;&gt;1),F351-G351,0)</f>
        <v>-17.639321412757951</v>
      </c>
      <c r="I351" s="62"/>
      <c r="J351" s="61">
        <f>J350-H351-I351</f>
        <v>-986.8406303705633</v>
      </c>
      <c r="K351" s="61">
        <f>K350*(1+$J$17)^(1/12)</f>
        <v>21695.857570835666</v>
      </c>
      <c r="L351" s="31">
        <f t="shared" si="43"/>
        <v>16</v>
      </c>
      <c r="M351" s="31">
        <f t="shared" si="44"/>
        <v>-2.6666666666666661</v>
      </c>
      <c r="N351" s="31">
        <f t="shared" si="45"/>
        <v>-2.35</v>
      </c>
      <c r="O351" s="62"/>
      <c r="P351" s="31">
        <f>O351+N351+M351+L351+I351+F351</f>
        <v>-10.186326370998263</v>
      </c>
      <c r="Q351" s="31">
        <f>SUM($P$36:P351)</f>
        <v>-3702.9148486384888</v>
      </c>
      <c r="R351" s="83">
        <f t="shared" si="46"/>
        <v>-0.1889722765613773</v>
      </c>
      <c r="S351" s="31">
        <f>SUMPRODUCT($P$36:P351,$D$36:D351)/D351-Q351</f>
        <v>-4412.9914196331774</v>
      </c>
      <c r="T351" s="31">
        <f t="shared" si="40"/>
        <v>17006.102091826615</v>
      </c>
      <c r="U351" s="31">
        <f t="shared" si="41"/>
        <v>17627.342091826617</v>
      </c>
      <c r="V351" s="80" cm="1">
        <f t="array" ref="V351">IF($L$2&lt;&gt;1,IRR(IF(ROW($P$36:P351)=ROW(P351),P351+K351+J351,$P$36:P351),V350/12)*12,0)</f>
        <v>9.6454438322375324E-2</v>
      </c>
      <c r="W351" s="83">
        <f>(1+V351/12)^(B351)-1</f>
        <v>11.451082270678345</v>
      </c>
    </row>
    <row r="352" spans="2:23" x14ac:dyDescent="0.25">
      <c r="B352" s="33">
        <v>316</v>
      </c>
      <c r="C352" s="105">
        <f t="shared" si="39"/>
        <v>3.9789301544717048E-3</v>
      </c>
      <c r="D352" s="106">
        <f t="shared" si="42"/>
        <v>0.28511943777762128</v>
      </c>
      <c r="E352" s="60">
        <f>rate</f>
        <v>3.5145930840192463E-3</v>
      </c>
      <c r="F352" s="31">
        <f>IF(AND(B351&gt;=gracia,12*años+gracia-B351&gt;0,$L$2&lt;&gt;1),PMT(E351,12*años-B351+gracia,-J351),0)</f>
        <v>-21.169659704331597</v>
      </c>
      <c r="G352" s="31">
        <f>IF(AND(12*años+gracia-B351&gt;0,$L$2&lt;&gt;1),J351*E352,0)</f>
        <v>-3.4683432545295751</v>
      </c>
      <c r="H352" s="31">
        <f>IF(AND(12*años+gracia-B351&gt;0,$L$2&lt;&gt;1),F352-G352,0)</f>
        <v>-17.701316449802022</v>
      </c>
      <c r="I352" s="62"/>
      <c r="J352" s="61">
        <f>J351-H352-I352</f>
        <v>-969.13931392076131</v>
      </c>
      <c r="K352" s="61">
        <f>K351*(1+$J$17)^(1/12)</f>
        <v>21801.46325462019</v>
      </c>
      <c r="L352" s="31">
        <f t="shared" si="43"/>
        <v>16</v>
      </c>
      <c r="M352" s="31">
        <f t="shared" si="44"/>
        <v>-2.6666666666666661</v>
      </c>
      <c r="N352" s="31">
        <f t="shared" si="45"/>
        <v>-2.35</v>
      </c>
      <c r="O352" s="62"/>
      <c r="P352" s="31">
        <f>O352+N352+M352+L352+I352+F352</f>
        <v>-10.186326370998263</v>
      </c>
      <c r="Q352" s="31">
        <f>SUM($P$36:P352)</f>
        <v>-3713.1011750094872</v>
      </c>
      <c r="R352" s="83">
        <f t="shared" si="46"/>
        <v>-0.18899692499501733</v>
      </c>
      <c r="S352" s="31">
        <f>SUMPRODUCT($P$36:P352,$D$36:D352)/D352-Q352</f>
        <v>-4445.2840438148687</v>
      </c>
      <c r="T352" s="31">
        <f t="shared" si="40"/>
        <v>17119.222765689941</v>
      </c>
      <c r="U352" s="31">
        <f t="shared" si="41"/>
        <v>17740.462765689943</v>
      </c>
      <c r="V352" s="80" cm="1">
        <f t="array" ref="V352">IF($L$2&lt;&gt;1,IRR(IF(ROW($P$36:P352)=ROW(P352),P352+K352+J352,$P$36:P352),V351/12)*12,0)</f>
        <v>9.6329467794422641E-2</v>
      </c>
      <c r="W352" s="83">
        <f>(1+V352/12)^(B352)-1</f>
        <v>11.510253901422407</v>
      </c>
    </row>
    <row r="353" spans="2:23" x14ac:dyDescent="0.25">
      <c r="B353" s="33">
        <v>317</v>
      </c>
      <c r="C353" s="105">
        <f t="shared" si="39"/>
        <v>3.9789301544717048E-3</v>
      </c>
      <c r="D353" s="106">
        <f t="shared" si="42"/>
        <v>0.2839894635375993</v>
      </c>
      <c r="E353" s="60">
        <f>rate</f>
        <v>3.5145930840192463E-3</v>
      </c>
      <c r="F353" s="31">
        <f>IF(AND(B352&gt;=gracia,12*años+gracia-B352&gt;0,$L$2&lt;&gt;1),PMT(E352,12*años-B352+gracia,-J352),0)</f>
        <v>-21.1696597043316</v>
      </c>
      <c r="G353" s="31">
        <f>IF(AND(12*años+gracia-B352&gt;0,$L$2&lt;&gt;1),J352*E353,0)</f>
        <v>-3.4061303301570649</v>
      </c>
      <c r="H353" s="31">
        <f>IF(AND(12*años+gracia-B352&gt;0,$L$2&lt;&gt;1),F353-G353,0)</f>
        <v>-17.763529374174535</v>
      </c>
      <c r="I353" s="62"/>
      <c r="J353" s="61">
        <f>J352-H353-I353</f>
        <v>-951.37578454658683</v>
      </c>
      <c r="K353" s="61">
        <f>K352*(1+$J$17)^(1/12)</f>
        <v>21907.582979410523</v>
      </c>
      <c r="L353" s="31">
        <f t="shared" si="43"/>
        <v>16</v>
      </c>
      <c r="M353" s="31">
        <f t="shared" si="44"/>
        <v>-2.6666666666666661</v>
      </c>
      <c r="N353" s="31">
        <f t="shared" si="45"/>
        <v>-2.35</v>
      </c>
      <c r="O353" s="62"/>
      <c r="P353" s="31">
        <f>O353+N353+M353+L353+I353+F353</f>
        <v>-10.186326370998266</v>
      </c>
      <c r="Q353" s="31">
        <f>SUM($P$36:P353)</f>
        <v>-3723.2875013804855</v>
      </c>
      <c r="R353" s="83">
        <f t="shared" si="46"/>
        <v>-0.18902141791803501</v>
      </c>
      <c r="S353" s="31">
        <f>SUMPRODUCT($P$36:P353,$D$36:D353)/D353-Q353</f>
        <v>-4477.7456887738426</v>
      </c>
      <c r="T353" s="31">
        <f t="shared" si="40"/>
        <v>17232.919693483451</v>
      </c>
      <c r="U353" s="31">
        <f t="shared" si="41"/>
        <v>17854.159693483452</v>
      </c>
      <c r="V353" s="80" cm="1">
        <f t="array" ref="V353">IF($L$2&lt;&gt;1,IRR(IF(ROW($P$36:P353)=ROW(P353),P353+K353+J353,$P$36:P353),V352/12)*12,0)</f>
        <v>9.6205184403060251E-2</v>
      </c>
      <c r="W353" s="83">
        <f>(1+V353/12)^(B353)-1</f>
        <v>11.56967293791319</v>
      </c>
    </row>
    <row r="354" spans="2:23" x14ac:dyDescent="0.25">
      <c r="B354" s="33">
        <v>318</v>
      </c>
      <c r="C354" s="105">
        <f t="shared" si="39"/>
        <v>3.9789301544717048E-3</v>
      </c>
      <c r="D354" s="106">
        <f t="shared" si="42"/>
        <v>0.28286396756743176</v>
      </c>
      <c r="E354" s="60">
        <f>rate</f>
        <v>3.5145930840192463E-3</v>
      </c>
      <c r="F354" s="31">
        <f>IF(AND(B353&gt;=gracia,12*años+gracia-B353&gt;0,$L$2&lt;&gt;1),PMT(E353,12*años-B353+gracia,-J353),0)</f>
        <v>-21.169659704331604</v>
      </c>
      <c r="G354" s="31">
        <f>IF(AND(12*años+gracia-B353&gt;0,$L$2&lt;&gt;1),J353*E354,0)</f>
        <v>-3.3436987526708184</v>
      </c>
      <c r="H354" s="31">
        <f>IF(AND(12*años+gracia-B353&gt;0,$L$2&lt;&gt;1),F354-G354,0)</f>
        <v>-17.825960951660786</v>
      </c>
      <c r="I354" s="62"/>
      <c r="J354" s="61">
        <f>J353-H354-I354</f>
        <v>-933.54982359492601</v>
      </c>
      <c r="K354" s="61">
        <f>K353*(1+$J$17)^(1/12)</f>
        <v>22014.219247327252</v>
      </c>
      <c r="L354" s="31">
        <f t="shared" si="43"/>
        <v>16</v>
      </c>
      <c r="M354" s="31">
        <f t="shared" si="44"/>
        <v>-2.6666666666666661</v>
      </c>
      <c r="N354" s="31">
        <f t="shared" si="45"/>
        <v>-2.35</v>
      </c>
      <c r="O354" s="62"/>
      <c r="P354" s="31">
        <f>O354+N354+M354+L354+I354+F354</f>
        <v>-10.18632637099827</v>
      </c>
      <c r="Q354" s="31">
        <f>SUM($P$36:P354)</f>
        <v>-3733.4738277514839</v>
      </c>
      <c r="R354" s="83">
        <f t="shared" si="46"/>
        <v>-0.18904575679751173</v>
      </c>
      <c r="S354" s="31">
        <f>SUMPRODUCT($P$36:P354,$D$36:D354)/D354-Q354</f>
        <v>-4510.377027031971</v>
      </c>
      <c r="T354" s="31">
        <f t="shared" si="40"/>
        <v>17347.19559598084</v>
      </c>
      <c r="U354" s="31">
        <f t="shared" si="41"/>
        <v>17968.435595980842</v>
      </c>
      <c r="V354" s="80" cm="1">
        <f t="array" ref="V354">IF($L$2&lt;&gt;1,IRR(IF(ROW($P$36:P354)=ROW(P354),P354+K354+J354,$P$36:P354),V353/12)*12,0)</f>
        <v>9.6081582752305827E-2</v>
      </c>
      <c r="W354" s="83">
        <f>(1+V354/12)^(B354)-1</f>
        <v>11.629340598622411</v>
      </c>
    </row>
    <row r="355" spans="2:23" x14ac:dyDescent="0.25">
      <c r="B355" s="33">
        <v>319</v>
      </c>
      <c r="C355" s="105">
        <f t="shared" si="39"/>
        <v>3.9789301544717048E-3</v>
      </c>
      <c r="D355" s="106">
        <f t="shared" si="42"/>
        <v>0.28174293211901413</v>
      </c>
      <c r="E355" s="60">
        <f>rate</f>
        <v>3.5145930840192463E-3</v>
      </c>
      <c r="F355" s="31">
        <f>IF(AND(B354&gt;=gracia,12*años+gracia-B354&gt;0,$L$2&lt;&gt;1),PMT(E354,12*años-B354+gracia,-J354),0)</f>
        <v>-21.169659704331597</v>
      </c>
      <c r="G355" s="31">
        <f>IF(AND(12*años+gracia-B354&gt;0,$L$2&lt;&gt;1),J354*E355,0)</f>
        <v>-3.2810477535941143</v>
      </c>
      <c r="H355" s="31">
        <f>IF(AND(12*años+gracia-B354&gt;0,$L$2&lt;&gt;1),F355-G355,0)</f>
        <v>-17.888611950737484</v>
      </c>
      <c r="I355" s="62"/>
      <c r="J355" s="61">
        <f>J354-H355-I355</f>
        <v>-915.66121164418848</v>
      </c>
      <c r="K355" s="61">
        <f>K354*(1+$J$17)^(1/12)</f>
        <v>22121.374572670164</v>
      </c>
      <c r="L355" s="31">
        <f t="shared" si="43"/>
        <v>16</v>
      </c>
      <c r="M355" s="31">
        <f t="shared" si="44"/>
        <v>-2.6666666666666661</v>
      </c>
      <c r="N355" s="31">
        <f t="shared" si="45"/>
        <v>-2.35</v>
      </c>
      <c r="O355" s="62"/>
      <c r="P355" s="31">
        <f>O355+N355+M355+L355+I355+F355</f>
        <v>-10.186326370998263</v>
      </c>
      <c r="Q355" s="31">
        <f>SUM($P$36:P355)</f>
        <v>-3743.6601541224823</v>
      </c>
      <c r="R355" s="83">
        <f t="shared" si="46"/>
        <v>-0.18906994308213276</v>
      </c>
      <c r="S355" s="31">
        <f>SUMPRODUCT($P$36:P355,$D$36:D355)/D355-Q355</f>
        <v>-4543.1787337870355</v>
      </c>
      <c r="T355" s="31">
        <f t="shared" si="40"/>
        <v>17462.053206903493</v>
      </c>
      <c r="U355" s="31">
        <f t="shared" si="41"/>
        <v>18083.293206903494</v>
      </c>
      <c r="V355" s="80" cm="1">
        <f t="array" ref="V355">IF($L$2&lt;&gt;1,IRR(IF(ROW($P$36:P355)=ROW(P355),P355+K355+J355,$P$36:P355),V354/12)*12,0)</f>
        <v>9.5958657502055011E-2</v>
      </c>
      <c r="W355" s="83">
        <f>(1+V355/12)^(B355)-1</f>
        <v>11.689258107008223</v>
      </c>
    </row>
    <row r="356" spans="2:23" x14ac:dyDescent="0.25">
      <c r="B356" s="33">
        <v>320</v>
      </c>
      <c r="C356" s="105">
        <f t="shared" si="39"/>
        <v>3.9789301544717048E-3</v>
      </c>
      <c r="D356" s="106">
        <f t="shared" si="42"/>
        <v>0.28062633951458055</v>
      </c>
      <c r="E356" s="60">
        <f>rate</f>
        <v>3.5145930840192463E-3</v>
      </c>
      <c r="F356" s="31">
        <f>IF(AND(B355&gt;=gracia,12*años+gracia-B355&gt;0,$L$2&lt;&gt;1),PMT(E355,12*años-B355+gracia,-J355),0)</f>
        <v>-21.169659704331597</v>
      </c>
      <c r="G356" s="31">
        <f>IF(AND(12*años+gracia-B355&gt;0,$L$2&lt;&gt;1),J355*E356,0)</f>
        <v>-3.2181765617493481</v>
      </c>
      <c r="H356" s="31">
        <f>IF(AND(12*años+gracia-B355&gt;0,$L$2&lt;&gt;1),F356-G356,0)</f>
        <v>-17.951483142582248</v>
      </c>
      <c r="I356" s="62"/>
      <c r="J356" s="61">
        <f>J355-H356-I356</f>
        <v>-897.70972850160626</v>
      </c>
      <c r="K356" s="61">
        <f>K355*(1+$J$17)^(1/12)</f>
        <v>22229.051481977531</v>
      </c>
      <c r="L356" s="31">
        <f t="shared" si="43"/>
        <v>16</v>
      </c>
      <c r="M356" s="31">
        <f t="shared" si="44"/>
        <v>-2.6666666666666661</v>
      </c>
      <c r="N356" s="31">
        <f t="shared" si="45"/>
        <v>-2.35</v>
      </c>
      <c r="O356" s="62"/>
      <c r="P356" s="31">
        <f>O356+N356+M356+L356+I356+F356</f>
        <v>-10.186326370998263</v>
      </c>
      <c r="Q356" s="31">
        <f>SUM($P$36:P356)</f>
        <v>-3753.8464804934806</v>
      </c>
      <c r="R356" s="83">
        <f t="shared" si="46"/>
        <v>-0.18909397820247492</v>
      </c>
      <c r="S356" s="31">
        <f>SUMPRODUCT($P$36:P356,$D$36:D356)/D356-Q356</f>
        <v>-4576.151486923387</v>
      </c>
      <c r="T356" s="31">
        <f t="shared" si="40"/>
        <v>17577.495272982444</v>
      </c>
      <c r="U356" s="31">
        <f t="shared" si="41"/>
        <v>18198.735272982445</v>
      </c>
      <c r="V356" s="80" cm="1">
        <f t="array" ref="V356">IF($L$2&lt;&gt;1,IRR(IF(ROW($P$36:P356)=ROW(P356),P356+K356+J356,$P$36:P356),V355/12)*12,0)</f>
        <v>9.5836403367353995E-2</v>
      </c>
      <c r="W356" s="83">
        <f>(1+V356/12)^(B356)-1</f>
        <v>11.74942669154281</v>
      </c>
    </row>
    <row r="357" spans="2:23" x14ac:dyDescent="0.25">
      <c r="B357" s="33">
        <v>321</v>
      </c>
      <c r="C357" s="105">
        <f t="shared" ref="C357:C420" si="47">(1+$E$3/360)^30-1-((1+$E$4)^(1/12)-1)</f>
        <v>3.9789301544717048E-3</v>
      </c>
      <c r="D357" s="106">
        <f t="shared" si="42"/>
        <v>0.27951417214642493</v>
      </c>
      <c r="E357" s="60">
        <f>rate</f>
        <v>3.5145930840192463E-3</v>
      </c>
      <c r="F357" s="31">
        <f>IF(AND(B356&gt;=gracia,12*años+gracia-B356&gt;0,$L$2&lt;&gt;1),PMT(E356,12*años-B356+gracia,-J356),0)</f>
        <v>-21.1696597043316</v>
      </c>
      <c r="G357" s="31">
        <f>IF(AND(12*años+gracia-B356&gt;0,$L$2&lt;&gt;1),J356*E357,0)</f>
        <v>-3.1550844032485408</v>
      </c>
      <c r="H357" s="31">
        <f>IF(AND(12*años+gracia-B356&gt;0,$L$2&lt;&gt;1),F357-G357,0)</f>
        <v>-18.01457530108306</v>
      </c>
      <c r="I357" s="62"/>
      <c r="J357" s="61">
        <f>J356-H357-I357</f>
        <v>-879.69515320052324</v>
      </c>
      <c r="K357" s="61">
        <f>K356*(1+$J$17)^(1/12)</f>
        <v>22337.252514085671</v>
      </c>
      <c r="L357" s="31">
        <f t="shared" si="43"/>
        <v>16</v>
      </c>
      <c r="M357" s="31">
        <f t="shared" si="44"/>
        <v>-2.6666666666666661</v>
      </c>
      <c r="N357" s="31">
        <f t="shared" si="45"/>
        <v>-2.35</v>
      </c>
      <c r="O357" s="62"/>
      <c r="P357" s="31">
        <f>O357+N357+M357+L357+I357+F357</f>
        <v>-10.186326370998266</v>
      </c>
      <c r="Q357" s="31">
        <f>SUM($P$36:P357)</f>
        <v>-3764.032806864479</v>
      </c>
      <c r="R357" s="83">
        <f t="shared" si="46"/>
        <v>-0.18911786357128849</v>
      </c>
      <c r="S357" s="31">
        <f>SUMPRODUCT($P$36:P357,$D$36:D357)/D357-Q357</f>
        <v>-4609.2959670226301</v>
      </c>
      <c r="T357" s="31">
        <f t="shared" ref="T357:T420" si="48">Q357+J357+K357</f>
        <v>17693.524554020667</v>
      </c>
      <c r="U357" s="31">
        <f t="shared" ref="U357:U420" si="49">IF($L$2&lt;&gt;1,T357+$E$30,T357)</f>
        <v>18314.764554020669</v>
      </c>
      <c r="V357" s="80" cm="1">
        <f t="array" ref="V357">IF($L$2&lt;&gt;1,IRR(IF(ROW($P$36:P357)=ROW(P357),P357+K357+J357,$P$36:P357),V356/12)*12,0)</f>
        <v>9.5714815117693419E-2</v>
      </c>
      <c r="W357" s="83">
        <f>(1+V357/12)^(B357)-1</f>
        <v>11.809847585744516</v>
      </c>
    </row>
    <row r="358" spans="2:23" x14ac:dyDescent="0.25">
      <c r="B358" s="33">
        <v>322</v>
      </c>
      <c r="C358" s="105">
        <f t="shared" si="47"/>
        <v>3.9789301544717048E-3</v>
      </c>
      <c r="D358" s="106">
        <f t="shared" ref="D358:D421" si="50">D357/(1+C358)</f>
        <v>0.2784064124766234</v>
      </c>
      <c r="E358" s="60">
        <f>rate</f>
        <v>3.5145930840192463E-3</v>
      </c>
      <c r="F358" s="31">
        <f>IF(AND(B357&gt;=gracia,12*años+gracia-B357&gt;0,$L$2&lt;&gt;1),PMT(E357,12*años-B357+gracia,-J357),0)</f>
        <v>-21.1696597043316</v>
      </c>
      <c r="G358" s="31">
        <f>IF(AND(12*años+gracia-B357&gt;0,$L$2&lt;&gt;1),J357*E358,0)</f>
        <v>-3.0917705014838104</v>
      </c>
      <c r="H358" s="31">
        <f>IF(AND(12*años+gracia-B357&gt;0,$L$2&lt;&gt;1),F358-G358,0)</f>
        <v>-18.077889202847789</v>
      </c>
      <c r="I358" s="62"/>
      <c r="J358" s="61">
        <f>J357-H358-I358</f>
        <v>-861.61726399767542</v>
      </c>
      <c r="K358" s="61">
        <f>K357*(1+$J$17)^(1/12)</f>
        <v>22445.98022018882</v>
      </c>
      <c r="L358" s="31">
        <f t="shared" ref="L358:L421" si="51">IF($L$2=3,$J$7*$J$16,0)</f>
        <v>16</v>
      </c>
      <c r="M358" s="31">
        <f t="shared" ref="M358:M421" si="52">-$J$28</f>
        <v>-2.6666666666666661</v>
      </c>
      <c r="N358" s="31">
        <f t="shared" ref="N358:N421" si="53">IF($L$2&lt;&gt;1,-$E$17-$E$18,0)</f>
        <v>-2.35</v>
      </c>
      <c r="O358" s="62"/>
      <c r="P358" s="31">
        <f>O358+N358+M358+L358+I358+F358</f>
        <v>-10.186326370998266</v>
      </c>
      <c r="Q358" s="31">
        <f>SUM($P$36:P358)</f>
        <v>-3774.2191332354773</v>
      </c>
      <c r="R358" s="83">
        <f t="shared" ref="R358:R421" si="54">IF($L$2&lt;&gt;1,-(Q358-$Q$36)/B358*12/$P$36,0)</f>
        <v>-0.18914160058377397</v>
      </c>
      <c r="S358" s="31">
        <f>SUMPRODUCT($P$36:P358,$D$36:D358)/D358-Q358</f>
        <v>-4642.6128573743554</v>
      </c>
      <c r="T358" s="31">
        <f t="shared" si="48"/>
        <v>17810.143822955666</v>
      </c>
      <c r="U358" s="31">
        <f t="shared" si="49"/>
        <v>18431.383822955668</v>
      </c>
      <c r="V358" s="80" cm="1">
        <f t="array" ref="V358">IF($L$2&lt;&gt;1,IRR(IF(ROW($P$36:P358)=ROW(P358),P358+K358+J358,$P$36:P358),V357/12)*12,0)</f>
        <v>9.5593887576326253E-2</v>
      </c>
      <c r="W358" s="83">
        <f>(1+V358/12)^(B358)-1</f>
        <v>11.870522028213061</v>
      </c>
    </row>
    <row r="359" spans="2:23" x14ac:dyDescent="0.25">
      <c r="B359" s="33">
        <v>323</v>
      </c>
      <c r="C359" s="105">
        <f t="shared" si="47"/>
        <v>3.9789301544717048E-3</v>
      </c>
      <c r="D359" s="106">
        <f t="shared" si="50"/>
        <v>0.27730304303675768</v>
      </c>
      <c r="E359" s="60">
        <f>rate</f>
        <v>3.5145930840192463E-3</v>
      </c>
      <c r="F359" s="31">
        <f>IF(AND(B358&gt;=gracia,12*años+gracia-B358&gt;0,$L$2&lt;&gt;1),PMT(E358,12*años-B358+gracia,-J358),0)</f>
        <v>-21.1696597043316</v>
      </c>
      <c r="G359" s="31">
        <f>IF(AND(12*años+gracia-B358&gt;0,$L$2&lt;&gt;1),J358*E359,0)</f>
        <v>-3.0282340771178151</v>
      </c>
      <c r="H359" s="31">
        <f>IF(AND(12*años+gracia-B358&gt;0,$L$2&lt;&gt;1),F359-G359,0)</f>
        <v>-18.141425627213785</v>
      </c>
      <c r="I359" s="62"/>
      <c r="J359" s="61">
        <f>J358-H359-I359</f>
        <v>-843.47583837046159</v>
      </c>
      <c r="K359" s="61">
        <f>K358*(1+$J$17)^(1/12)</f>
        <v>22555.237163899277</v>
      </c>
      <c r="L359" s="31">
        <f t="shared" si="51"/>
        <v>16</v>
      </c>
      <c r="M359" s="31">
        <f t="shared" si="52"/>
        <v>-2.6666666666666661</v>
      </c>
      <c r="N359" s="31">
        <f t="shared" si="53"/>
        <v>-2.35</v>
      </c>
      <c r="O359" s="62"/>
      <c r="P359" s="31">
        <f>O359+N359+M359+L359+I359+F359</f>
        <v>-10.186326370998266</v>
      </c>
      <c r="Q359" s="31">
        <f>SUM($P$36:P359)</f>
        <v>-3784.4054596064757</v>
      </c>
      <c r="R359" s="83">
        <f t="shared" si="54"/>
        <v>-0.189165190617854</v>
      </c>
      <c r="S359" s="31">
        <f>SUMPRODUCT($P$36:P359,$D$36:D359)/D359-Q359</f>
        <v>-4676.1028439869151</v>
      </c>
      <c r="T359" s="31">
        <f t="shared" si="48"/>
        <v>17927.355865922342</v>
      </c>
      <c r="U359" s="31">
        <f t="shared" si="49"/>
        <v>18548.595865922343</v>
      </c>
      <c r="V359" s="80" cm="1">
        <f t="array" ref="V359">IF($L$2&lt;&gt;1,IRR(IF(ROW($P$36:P359)=ROW(P359),P359+K359+J359,$P$36:P359),V358/12)*12,0)</f>
        <v>9.5473615619553698E-2</v>
      </c>
      <c r="W359" s="83">
        <f>(1+V359/12)^(B359)-1</f>
        <v>11.93145126265148</v>
      </c>
    </row>
    <row r="360" spans="2:23" x14ac:dyDescent="0.25">
      <c r="B360" s="33">
        <v>324</v>
      </c>
      <c r="C360" s="105">
        <f t="shared" si="47"/>
        <v>3.9789301544717048E-3</v>
      </c>
      <c r="D360" s="106">
        <f t="shared" si="50"/>
        <v>0.27620404642763963</v>
      </c>
      <c r="E360" s="60">
        <f>rate</f>
        <v>3.5145930840192463E-3</v>
      </c>
      <c r="F360" s="31">
        <f>IF(AND(B359&gt;=gracia,12*años+gracia-B359&gt;0,$L$2&lt;&gt;1),PMT(E359,12*años-B359+gracia,-J359),0)</f>
        <v>-21.169659704331597</v>
      </c>
      <c r="G360" s="31">
        <f>IF(AND(12*años+gracia-B359&gt;0,$L$2&lt;&gt;1),J359*E360,0)</f>
        <v>-2.9644743480741598</v>
      </c>
      <c r="H360" s="31">
        <f>IF(AND(12*años+gracia-B359&gt;0,$L$2&lt;&gt;1),F360-G360,0)</f>
        <v>-18.205185356257438</v>
      </c>
      <c r="I360" s="62"/>
      <c r="J360" s="61">
        <f>J359-H360-I360</f>
        <v>-825.27065301420419</v>
      </c>
      <c r="K360" s="61">
        <f>K359*(1+$J$17)^(1/12)</f>
        <v>22665.025921307861</v>
      </c>
      <c r="L360" s="31">
        <f t="shared" si="51"/>
        <v>16</v>
      </c>
      <c r="M360" s="31">
        <f t="shared" si="52"/>
        <v>-2.6666666666666661</v>
      </c>
      <c r="N360" s="31">
        <f t="shared" si="53"/>
        <v>-2.35</v>
      </c>
      <c r="O360" s="62"/>
      <c r="P360" s="31">
        <f>O360+N360+M360+L360+I360+F360</f>
        <v>-10.186326370998263</v>
      </c>
      <c r="Q360" s="31">
        <f>SUM($P$36:P360)</f>
        <v>-3794.591785977474</v>
      </c>
      <c r="R360" s="83">
        <f t="shared" si="54"/>
        <v>-0.18918863503443969</v>
      </c>
      <c r="S360" s="31">
        <f>SUMPRODUCT($P$36:P360,$D$36:D360)/D360-Q360</f>
        <v>-4709.7666155982406</v>
      </c>
      <c r="T360" s="31">
        <f t="shared" si="48"/>
        <v>18045.16348231618</v>
      </c>
      <c r="U360" s="31">
        <f t="shared" si="49"/>
        <v>18666.403482316182</v>
      </c>
      <c r="V360" s="80" cm="1">
        <f t="array" ref="V360">IF($L$2&lt;&gt;1,IRR(IF(ROW($P$36:P360)=ROW(P360),P360+K360+J360,$P$36:P360),V359/12)*12,0)</f>
        <v>9.5353994176083035E-2</v>
      </c>
      <c r="W360" s="83">
        <f>(1+V360/12)^(B360)-1</f>
        <v>11.992636537908506</v>
      </c>
    </row>
    <row r="361" spans="2:23" x14ac:dyDescent="0.25">
      <c r="B361" s="33">
        <v>325</v>
      </c>
      <c r="C361" s="105">
        <f t="shared" si="47"/>
        <v>3.9789301544717048E-3</v>
      </c>
      <c r="D361" s="106">
        <f t="shared" si="50"/>
        <v>0.27510940531903694</v>
      </c>
      <c r="E361" s="60">
        <f>rate</f>
        <v>3.5145930840192463E-3</v>
      </c>
      <c r="F361" s="31">
        <f>IF(AND(B360&gt;=gracia,12*años+gracia-B360&gt;0,$L$2&lt;&gt;1),PMT(E360,12*años-B360+gracia,-J360),0)</f>
        <v>-21.1696597043316</v>
      </c>
      <c r="G361" s="31">
        <f>IF(AND(12*años+gracia-B360&gt;0,$L$2&lt;&gt;1),J360*E361,0)</f>
        <v>-2.9004905295277692</v>
      </c>
      <c r="H361" s="31">
        <f>IF(AND(12*años+gracia-B360&gt;0,$L$2&lt;&gt;1),F361-G361,0)</f>
        <v>-18.269169174803832</v>
      </c>
      <c r="I361" s="62"/>
      <c r="J361" s="61">
        <f>J360-H361-I361</f>
        <v>-807.00148383940041</v>
      </c>
      <c r="K361" s="61">
        <f>K360*(1+$J$17)^(1/12)</f>
        <v>22775.349081044638</v>
      </c>
      <c r="L361" s="31">
        <f t="shared" si="51"/>
        <v>16</v>
      </c>
      <c r="M361" s="31">
        <f t="shared" si="52"/>
        <v>-2.6666666666666661</v>
      </c>
      <c r="N361" s="31">
        <f t="shared" si="53"/>
        <v>-2.35</v>
      </c>
      <c r="O361" s="62"/>
      <c r="P361" s="31">
        <f>O361+N361+M361+L361+I361+F361</f>
        <v>-10.186326370998266</v>
      </c>
      <c r="Q361" s="31">
        <f>SUM($P$36:P361)</f>
        <v>-3804.7781123484724</v>
      </c>
      <c r="R361" s="83">
        <f t="shared" si="54"/>
        <v>-0.18921193517769255</v>
      </c>
      <c r="S361" s="31">
        <f>SUMPRODUCT($P$36:P361,$D$36:D361)/D361-Q361</f>
        <v>-4743.6048636867054</v>
      </c>
      <c r="T361" s="31">
        <f t="shared" si="48"/>
        <v>18163.569484856765</v>
      </c>
      <c r="U361" s="31">
        <f t="shared" si="49"/>
        <v>18784.809484856767</v>
      </c>
      <c r="V361" s="80" cm="1">
        <f t="array" ref="V361">IF($L$2&lt;&gt;1,IRR(IF(ROW($P$36:P361)=ROW(P361),P361+K361+J361,$P$36:P361),V360/12)*12,0)</f>
        <v>9.523501822633218E-2</v>
      </c>
      <c r="W361" s="83">
        <f>(1+V361/12)^(B361)-1</f>
        <v>12.054079108000495</v>
      </c>
    </row>
    <row r="362" spans="2:23" x14ac:dyDescent="0.25">
      <c r="B362" s="33">
        <v>326</v>
      </c>
      <c r="C362" s="105">
        <f t="shared" si="47"/>
        <v>3.9789301544717048E-3</v>
      </c>
      <c r="D362" s="106">
        <f t="shared" si="50"/>
        <v>0.27401910244939975</v>
      </c>
      <c r="E362" s="60">
        <f>rate</f>
        <v>3.5145930840192463E-3</v>
      </c>
      <c r="F362" s="31">
        <f>IF(AND(B361&gt;=gracia,12*años+gracia-B361&gt;0,$L$2&lt;&gt;1),PMT(E361,12*años-B361+gracia,-J361),0)</f>
        <v>-21.169659704331604</v>
      </c>
      <c r="G362" s="31">
        <f>IF(AND(12*años+gracia-B361&gt;0,$L$2&lt;&gt;1),J361*E362,0)</f>
        <v>-2.8362818338952263</v>
      </c>
      <c r="H362" s="31">
        <f>IF(AND(12*años+gracia-B361&gt;0,$L$2&lt;&gt;1),F362-G362,0)</f>
        <v>-18.333377870436379</v>
      </c>
      <c r="I362" s="62"/>
      <c r="J362" s="61">
        <f>J361-H362-I362</f>
        <v>-788.66810596896403</v>
      </c>
      <c r="K362" s="61">
        <f>K361*(1+$J$17)^(1/12)</f>
        <v>22886.209244339963</v>
      </c>
      <c r="L362" s="31">
        <f t="shared" si="51"/>
        <v>16</v>
      </c>
      <c r="M362" s="31">
        <f t="shared" si="52"/>
        <v>-2.6666666666666661</v>
      </c>
      <c r="N362" s="31">
        <f t="shared" si="53"/>
        <v>-2.35</v>
      </c>
      <c r="O362" s="62"/>
      <c r="P362" s="31">
        <f>O362+N362+M362+L362+I362+F362</f>
        <v>-10.18632637099827</v>
      </c>
      <c r="Q362" s="31">
        <f>SUM($P$36:P362)</f>
        <v>-3814.9644387194708</v>
      </c>
      <c r="R362" s="83">
        <f t="shared" si="54"/>
        <v>-0.18923509237528136</v>
      </c>
      <c r="S362" s="31">
        <f>SUMPRODUCT($P$36:P362,$D$36:D362)/D362-Q362</f>
        <v>-4777.6182824820244</v>
      </c>
      <c r="T362" s="31">
        <f t="shared" si="48"/>
        <v>18282.57669965153</v>
      </c>
      <c r="U362" s="31">
        <f t="shared" si="49"/>
        <v>18903.816699651532</v>
      </c>
      <c r="V362" s="80" cm="1">
        <f t="array" ref="V362">IF($L$2&lt;&gt;1,IRR(IF(ROW($P$36:P362)=ROW(P362),P362+K362+J362,$P$36:P362),V361/12)*12,0)</f>
        <v>9.5116682801792862E-2</v>
      </c>
      <c r="W362" s="83">
        <f>(1+V362/12)^(B362)-1</f>
        <v>12.115780232147243</v>
      </c>
    </row>
    <row r="363" spans="2:23" x14ac:dyDescent="0.25">
      <c r="B363" s="33">
        <v>327</v>
      </c>
      <c r="C363" s="105">
        <f t="shared" si="47"/>
        <v>3.9789301544717048E-3</v>
      </c>
      <c r="D363" s="106">
        <f t="shared" si="50"/>
        <v>0.27293312062558855</v>
      </c>
      <c r="E363" s="60">
        <f>rate</f>
        <v>3.5145930840192463E-3</v>
      </c>
      <c r="F363" s="31">
        <f>IF(AND(B362&gt;=gracia,12*años+gracia-B362&gt;0,$L$2&lt;&gt;1),PMT(E362,12*años-B362+gracia,-J362),0)</f>
        <v>-21.1696597043316</v>
      </c>
      <c r="G363" s="31">
        <f>IF(AND(12*años+gracia-B362&gt;0,$L$2&lt;&gt;1),J362*E363,0)</f>
        <v>-2.7718474708250791</v>
      </c>
      <c r="H363" s="31">
        <f>IF(AND(12*años+gracia-B362&gt;0,$L$2&lt;&gt;1),F363-G363,0)</f>
        <v>-18.397812233506521</v>
      </c>
      <c r="I363" s="62"/>
      <c r="J363" s="61">
        <f>J362-H363-I363</f>
        <v>-770.27029373545747</v>
      </c>
      <c r="K363" s="61">
        <f>K362*(1+$J$17)^(1/12)</f>
        <v>22997.609025085811</v>
      </c>
      <c r="L363" s="31">
        <f t="shared" si="51"/>
        <v>16</v>
      </c>
      <c r="M363" s="31">
        <f t="shared" si="52"/>
        <v>-2.6666666666666661</v>
      </c>
      <c r="N363" s="31">
        <f t="shared" si="53"/>
        <v>-2.35</v>
      </c>
      <c r="O363" s="62"/>
      <c r="P363" s="31">
        <f>O363+N363+M363+L363+I363+F363</f>
        <v>-10.186326370998266</v>
      </c>
      <c r="Q363" s="31">
        <f>SUM($P$36:P363)</f>
        <v>-3825.1507650904691</v>
      </c>
      <c r="R363" s="83">
        <f t="shared" si="54"/>
        <v>-0.18925810793863407</v>
      </c>
      <c r="S363" s="31">
        <f>SUMPRODUCT($P$36:P363,$D$36:D363)/D363-Q363</f>
        <v>-4811.8075689762045</v>
      </c>
      <c r="T363" s="31">
        <f t="shared" si="48"/>
        <v>18402.187966259884</v>
      </c>
      <c r="U363" s="31">
        <f t="shared" si="49"/>
        <v>19023.427966259886</v>
      </c>
      <c r="V363" s="80" cm="1">
        <f t="array" ref="V363">IF($L$2&lt;&gt;1,IRR(IF(ROW($P$36:P363)=ROW(P363),P363+K363+J363,$P$36:P363),V362/12)*12,0)</f>
        <v>9.499898298438314E-2</v>
      </c>
      <c r="W363" s="83">
        <f>(1+V363/12)^(B363)-1</f>
        <v>12.177741174803083</v>
      </c>
    </row>
    <row r="364" spans="2:23" x14ac:dyDescent="0.25">
      <c r="B364" s="33">
        <v>328</v>
      </c>
      <c r="C364" s="105">
        <f t="shared" si="47"/>
        <v>3.9789301544717048E-3</v>
      </c>
      <c r="D364" s="106">
        <f t="shared" si="50"/>
        <v>0.27185144272260298</v>
      </c>
      <c r="E364" s="60">
        <f>rate</f>
        <v>3.5145930840192463E-3</v>
      </c>
      <c r="F364" s="31">
        <f>IF(AND(B363&gt;=gracia,12*años+gracia-B363&gt;0,$L$2&lt;&gt;1),PMT(E363,12*años-B363+gracia,-J363),0)</f>
        <v>-21.169659704331604</v>
      </c>
      <c r="G364" s="31">
        <f>IF(AND(12*años+gracia-B363&gt;0,$L$2&lt;&gt;1),J363*E364,0)</f>
        <v>-2.7071866471881121</v>
      </c>
      <c r="H364" s="31">
        <f>IF(AND(12*años+gracia-B363&gt;0,$L$2&lt;&gt;1),F364-G364,0)</f>
        <v>-18.462473057143491</v>
      </c>
      <c r="I364" s="62"/>
      <c r="J364" s="61">
        <f>J363-H364-I364</f>
        <v>-751.80782067831399</v>
      </c>
      <c r="K364" s="61">
        <f>K363*(1+$J$17)^(1/12)</f>
        <v>23109.551049897407</v>
      </c>
      <c r="L364" s="31">
        <f t="shared" si="51"/>
        <v>16</v>
      </c>
      <c r="M364" s="31">
        <f t="shared" si="52"/>
        <v>-2.6666666666666661</v>
      </c>
      <c r="N364" s="31">
        <f t="shared" si="53"/>
        <v>-2.35</v>
      </c>
      <c r="O364" s="62"/>
      <c r="P364" s="31">
        <f>O364+N364+M364+L364+I364+F364</f>
        <v>-10.18632637099827</v>
      </c>
      <c r="Q364" s="31">
        <f>SUM($P$36:P364)</f>
        <v>-3835.3370914614675</v>
      </c>
      <c r="R364" s="83">
        <f t="shared" si="54"/>
        <v>-0.18928098316318584</v>
      </c>
      <c r="S364" s="31">
        <f>SUMPRODUCT($P$36:P364,$D$36:D364)/D364-Q364</f>
        <v>-4846.1734229345366</v>
      </c>
      <c r="T364" s="31">
        <f t="shared" si="48"/>
        <v>18522.406137757625</v>
      </c>
      <c r="U364" s="31">
        <f t="shared" si="49"/>
        <v>19143.646137757627</v>
      </c>
      <c r="V364" s="80" cm="1">
        <f t="array" ref="V364">IF($L$2&lt;&gt;1,IRR(IF(ROW($P$36:P364)=ROW(P364),P364+K364+J364,$P$36:P364),V363/12)*12,0)</f>
        <v>9.488191390579459E-2</v>
      </c>
      <c r="W364" s="83">
        <f>(1+V364/12)^(B364)-1</f>
        <v>12.239963205683056</v>
      </c>
    </row>
    <row r="365" spans="2:23" x14ac:dyDescent="0.25">
      <c r="B365" s="33">
        <v>329</v>
      </c>
      <c r="C365" s="105">
        <f t="shared" si="47"/>
        <v>3.9789301544717048E-3</v>
      </c>
      <c r="D365" s="106">
        <f t="shared" si="50"/>
        <v>0.27077405168331176</v>
      </c>
      <c r="E365" s="60">
        <f>rate</f>
        <v>3.5145930840192463E-3</v>
      </c>
      <c r="F365" s="31">
        <f>IF(AND(B364&gt;=gracia,12*años+gracia-B364&gt;0,$L$2&lt;&gt;1),PMT(E364,12*años-B364+gracia,-J364),0)</f>
        <v>-21.169659704331597</v>
      </c>
      <c r="G365" s="31">
        <f>IF(AND(12*años+gracia-B364&gt;0,$L$2&lt;&gt;1),J364*E365,0)</f>
        <v>-2.6422985670675843</v>
      </c>
      <c r="H365" s="31">
        <f>IF(AND(12*años+gracia-B364&gt;0,$L$2&lt;&gt;1),F365-G365,0)</f>
        <v>-18.527361137264013</v>
      </c>
      <c r="I365" s="62"/>
      <c r="J365" s="61">
        <f>J364-H365-I365</f>
        <v>-733.28045954104994</v>
      </c>
      <c r="K365" s="61">
        <f>K364*(1+$J$17)^(1/12)</f>
        <v>23222.037958175159</v>
      </c>
      <c r="L365" s="31">
        <f t="shared" si="51"/>
        <v>16</v>
      </c>
      <c r="M365" s="31">
        <f t="shared" si="52"/>
        <v>-2.6666666666666661</v>
      </c>
      <c r="N365" s="31">
        <f t="shared" si="53"/>
        <v>-2.35</v>
      </c>
      <c r="O365" s="62"/>
      <c r="P365" s="31">
        <f>O365+N365+M365+L365+I365+F365</f>
        <v>-10.186326370998263</v>
      </c>
      <c r="Q365" s="31">
        <f>SUM($P$36:P365)</f>
        <v>-3845.5234178324658</v>
      </c>
      <c r="R365" s="83">
        <f t="shared" si="54"/>
        <v>-0.18930371932862181</v>
      </c>
      <c r="S365" s="31">
        <f>SUMPRODUCT($P$36:P365,$D$36:D365)/D365-Q365</f>
        <v>-4880.7165469066313</v>
      </c>
      <c r="T365" s="31">
        <f t="shared" si="48"/>
        <v>18643.234080801642</v>
      </c>
      <c r="U365" s="31">
        <f t="shared" si="49"/>
        <v>19264.474080801643</v>
      </c>
      <c r="V365" s="80" cm="1">
        <f t="array" ref="V365">IF($L$2&lt;&gt;1,IRR(IF(ROW($P$36:P365)=ROW(P365),P365+K365+J365,$P$36:P365),V364/12)*12,0)</f>
        <v>9.4765470746898117E-2</v>
      </c>
      <c r="W365" s="83">
        <f>(1+V365/12)^(B365)-1</f>
        <v>12.30244759980633</v>
      </c>
    </row>
    <row r="366" spans="2:23" x14ac:dyDescent="0.25">
      <c r="B366" s="33">
        <v>330</v>
      </c>
      <c r="C366" s="105">
        <f t="shared" si="47"/>
        <v>3.9789301544717048E-3</v>
      </c>
      <c r="D366" s="106">
        <f t="shared" si="50"/>
        <v>0.26970093051818389</v>
      </c>
      <c r="E366" s="60">
        <f>rate</f>
        <v>3.5145930840192463E-3</v>
      </c>
      <c r="F366" s="31">
        <f>IF(AND(B365&gt;=gracia,12*años+gracia-B365&gt;0,$L$2&lt;&gt;1),PMT(E365,12*años-B365+gracia,-J365),0)</f>
        <v>-21.1696597043316</v>
      </c>
      <c r="G366" s="31">
        <f>IF(AND(12*años+gracia-B365&gt;0,$L$2&lt;&gt;1),J365*E366,0)</f>
        <v>-2.5771824317494287</v>
      </c>
      <c r="H366" s="31">
        <f>IF(AND(12*años+gracia-B365&gt;0,$L$2&lt;&gt;1),F366-G366,0)</f>
        <v>-18.592477272582173</v>
      </c>
      <c r="I366" s="62"/>
      <c r="J366" s="61">
        <f>J365-H366-I366</f>
        <v>-714.68798226846775</v>
      </c>
      <c r="K366" s="61">
        <f>K365*(1+$J$17)^(1/12)</f>
        <v>23335.07240216689</v>
      </c>
      <c r="L366" s="31">
        <f t="shared" si="51"/>
        <v>16</v>
      </c>
      <c r="M366" s="31">
        <f t="shared" si="52"/>
        <v>-2.6666666666666661</v>
      </c>
      <c r="N366" s="31">
        <f t="shared" si="53"/>
        <v>-2.35</v>
      </c>
      <c r="O366" s="62"/>
      <c r="P366" s="31">
        <f>O366+N366+M366+L366+I366+F366</f>
        <v>-10.186326370998266</v>
      </c>
      <c r="Q366" s="31">
        <f>SUM($P$36:P366)</f>
        <v>-3855.7097442034642</v>
      </c>
      <c r="R366" s="83">
        <f t="shared" si="54"/>
        <v>-0.18932631769911579</v>
      </c>
      <c r="S366" s="31">
        <f>SUMPRODUCT($P$36:P366,$D$36:D366)/D366-Q366</f>
        <v>-4915.4376462374876</v>
      </c>
      <c r="T366" s="31">
        <f t="shared" si="48"/>
        <v>18764.674675694958</v>
      </c>
      <c r="U366" s="31">
        <f t="shared" si="49"/>
        <v>19385.914675694959</v>
      </c>
      <c r="V366" s="80" cm="1">
        <f t="array" ref="V366">IF($L$2&lt;&gt;1,IRR(IF(ROW($P$36:P366)=ROW(P366),P366+K366+J366,$P$36:P366),V365/12)*12,0)</f>
        <v>9.4649648737099135E-2</v>
      </c>
      <c r="W366" s="83">
        <f>(1+V366/12)^(B366)-1</f>
        <v>12.365195637515697</v>
      </c>
    </row>
    <row r="367" spans="2:23" x14ac:dyDescent="0.25">
      <c r="B367" s="33">
        <v>331</v>
      </c>
      <c r="C367" s="105">
        <f t="shared" si="47"/>
        <v>3.9789301544717048E-3</v>
      </c>
      <c r="D367" s="106">
        <f t="shared" si="50"/>
        <v>0.26863206230502051</v>
      </c>
      <c r="E367" s="60">
        <f>rate</f>
        <v>3.5145930840192463E-3</v>
      </c>
      <c r="F367" s="31">
        <f>IF(AND(B366&gt;=gracia,12*años+gracia-B366&gt;0,$L$2&lt;&gt;1),PMT(E366,12*años-B366+gracia,-J366),0)</f>
        <v>-21.1696597043316</v>
      </c>
      <c r="G367" s="31">
        <f>IF(AND(12*años+gracia-B366&gt;0,$L$2&lt;&gt;1),J366*E367,0)</f>
        <v>-2.5118374397124263</v>
      </c>
      <c r="H367" s="31">
        <f>IF(AND(12*años+gracia-B366&gt;0,$L$2&lt;&gt;1),F367-G367,0)</f>
        <v>-18.657822264619174</v>
      </c>
      <c r="I367" s="62"/>
      <c r="J367" s="61">
        <f>J366-H367-I367</f>
        <v>-696.03016000384855</v>
      </c>
      <c r="K367" s="61">
        <f>K366*(1+$J$17)^(1/12)</f>
        <v>23448.657047030378</v>
      </c>
      <c r="L367" s="31">
        <f t="shared" si="51"/>
        <v>16</v>
      </c>
      <c r="M367" s="31">
        <f t="shared" si="52"/>
        <v>-2.6666666666666661</v>
      </c>
      <c r="N367" s="31">
        <f t="shared" si="53"/>
        <v>-2.35</v>
      </c>
      <c r="O367" s="62"/>
      <c r="P367" s="31">
        <f>O367+N367+M367+L367+I367+F367</f>
        <v>-10.186326370998266</v>
      </c>
      <c r="Q367" s="31">
        <f>SUM($P$36:P367)</f>
        <v>-3865.8960705744626</v>
      </c>
      <c r="R367" s="83">
        <f t="shared" si="54"/>
        <v>-0.18934877952356444</v>
      </c>
      <c r="S367" s="31">
        <f>SUMPRODUCT($P$36:P367,$D$36:D367)/D367-Q367</f>
        <v>-4950.3374290786269</v>
      </c>
      <c r="T367" s="31">
        <f t="shared" si="48"/>
        <v>18886.730816452065</v>
      </c>
      <c r="U367" s="31">
        <f t="shared" si="49"/>
        <v>19507.970816452067</v>
      </c>
      <c r="V367" s="80" cm="1">
        <f t="array" ref="V367">IF($L$2&lt;&gt;1,IRR(IF(ROW($P$36:P367)=ROW(P367),P367+K367+J367,$P$36:P367),V366/12)*12,0)</f>
        <v>9.4534443153732717E-2</v>
      </c>
      <c r="W367" s="83">
        <f>(1+V367/12)^(B367)-1</f>
        <v>12.4282086045111</v>
      </c>
    </row>
    <row r="368" spans="2:23" x14ac:dyDescent="0.25">
      <c r="B368" s="33">
        <v>332</v>
      </c>
      <c r="C368" s="105">
        <f t="shared" si="47"/>
        <v>3.9789301544717048E-3</v>
      </c>
      <c r="D368" s="106">
        <f t="shared" si="50"/>
        <v>0.26756743018868823</v>
      </c>
      <c r="E368" s="60">
        <f>rate</f>
        <v>3.5145930840192463E-3</v>
      </c>
      <c r="F368" s="31">
        <f>IF(AND(B367&gt;=gracia,12*años+gracia-B367&gt;0,$L$2&lt;&gt;1),PMT(E367,12*años-B367+gracia,-J367),0)</f>
        <v>-21.169659704331597</v>
      </c>
      <c r="G368" s="31">
        <f>IF(AND(12*años+gracia-B367&gt;0,$L$2&lt;&gt;1),J367*E368,0)</f>
        <v>-2.4462627866183357</v>
      </c>
      <c r="H368" s="31">
        <f>IF(AND(12*años+gracia-B367&gt;0,$L$2&lt;&gt;1),F368-G368,0)</f>
        <v>-18.723396917713259</v>
      </c>
      <c r="I368" s="62"/>
      <c r="J368" s="61">
        <f>J367-H368-I368</f>
        <v>-677.30676308613533</v>
      </c>
      <c r="K368" s="61">
        <f>K367*(1+$J$17)^(1/12)</f>
        <v>23562.794570896185</v>
      </c>
      <c r="L368" s="31">
        <f t="shared" si="51"/>
        <v>16</v>
      </c>
      <c r="M368" s="31">
        <f t="shared" si="52"/>
        <v>-2.6666666666666661</v>
      </c>
      <c r="N368" s="31">
        <f t="shared" si="53"/>
        <v>-2.35</v>
      </c>
      <c r="O368" s="62"/>
      <c r="P368" s="31">
        <f>O368+N368+M368+L368+I368+F368</f>
        <v>-10.186326370998263</v>
      </c>
      <c r="Q368" s="31">
        <f>SUM($P$36:P368)</f>
        <v>-3876.0823969454609</v>
      </c>
      <c r="R368" s="83">
        <f t="shared" si="54"/>
        <v>-0.18937110603581764</v>
      </c>
      <c r="S368" s="31">
        <f>SUMPRODUCT($P$36:P368,$D$36:D368)/D368-Q368</f>
        <v>-4985.4166063992616</v>
      </c>
      <c r="T368" s="31">
        <f t="shared" si="48"/>
        <v>19009.405410864587</v>
      </c>
      <c r="U368" s="31">
        <f t="shared" si="49"/>
        <v>19630.645410864588</v>
      </c>
      <c r="V368" s="80" cm="1">
        <f t="array" ref="V368">IF($L$2&lt;&gt;1,IRR(IF(ROW($P$36:P368)=ROW(P368),P368+K368+J368,$P$36:P368),V367/12)*12,0)</f>
        <v>9.4419849321485394E-2</v>
      </c>
      <c r="W368" s="83">
        <f>(1+V368/12)^(B368)-1</f>
        <v>12.491487791889615</v>
      </c>
    </row>
    <row r="369" spans="2:23" x14ac:dyDescent="0.25">
      <c r="B369" s="33">
        <v>333</v>
      </c>
      <c r="C369" s="105">
        <f t="shared" si="47"/>
        <v>3.9789301544717048E-3</v>
      </c>
      <c r="D369" s="106">
        <f t="shared" si="50"/>
        <v>0.26650701738085325</v>
      </c>
      <c r="E369" s="60">
        <f>rate</f>
        <v>3.5145930840192463E-3</v>
      </c>
      <c r="F369" s="31">
        <f>IF(AND(B368&gt;=gracia,12*años+gracia-B368&gt;0,$L$2&lt;&gt;1),PMT(E368,12*años-B368+gracia,-J368),0)</f>
        <v>-21.1696597043316</v>
      </c>
      <c r="G369" s="31">
        <f>IF(AND(12*años+gracia-B368&gt;0,$L$2&lt;&gt;1),J368*E369,0)</f>
        <v>-2.3804576653019933</v>
      </c>
      <c r="H369" s="31">
        <f>IF(AND(12*años+gracia-B368&gt;0,$L$2&lt;&gt;1),F369-G369,0)</f>
        <v>-18.789202039029608</v>
      </c>
      <c r="I369" s="62"/>
      <c r="J369" s="61">
        <f>J368-H369-I369</f>
        <v>-658.51756104710569</v>
      </c>
      <c r="K369" s="61">
        <f>K368*(1+$J$17)^(1/12)</f>
        <v>23677.487664930813</v>
      </c>
      <c r="L369" s="31">
        <f t="shared" si="51"/>
        <v>16</v>
      </c>
      <c r="M369" s="31">
        <f t="shared" si="52"/>
        <v>-2.6666666666666661</v>
      </c>
      <c r="N369" s="31">
        <f t="shared" si="53"/>
        <v>-2.35</v>
      </c>
      <c r="O369" s="62"/>
      <c r="P369" s="31">
        <f>O369+N369+M369+L369+I369+F369</f>
        <v>-10.186326370998266</v>
      </c>
      <c r="Q369" s="31">
        <f>SUM($P$36:P369)</f>
        <v>-3886.2687233164593</v>
      </c>
      <c r="R369" s="83">
        <f t="shared" si="54"/>
        <v>-0.18939329845490413</v>
      </c>
      <c r="S369" s="31">
        <f>SUMPRODUCT($P$36:P369,$D$36:D369)/D369-Q369</f>
        <v>-5020.6758919974891</v>
      </c>
      <c r="T369" s="31">
        <f t="shared" si="48"/>
        <v>19132.701380567247</v>
      </c>
      <c r="U369" s="31">
        <f t="shared" si="49"/>
        <v>19753.941380567248</v>
      </c>
      <c r="V369" s="80" cm="1">
        <f t="array" ref="V369">IF($L$2&lt;&gt;1,IRR(IF(ROW($P$36:P369)=ROW(P369),P369+K369+J369,$P$36:P369),V368/12)*12,0)</f>
        <v>9.4305862611779645E-2</v>
      </c>
      <c r="W369" s="83">
        <f>(1+V369/12)^(B369)-1</f>
        <v>12.555034496166062</v>
      </c>
    </row>
    <row r="370" spans="2:23" x14ac:dyDescent="0.25">
      <c r="B370" s="33">
        <v>334</v>
      </c>
      <c r="C370" s="105">
        <f t="shared" si="47"/>
        <v>3.9789301544717048E-3</v>
      </c>
      <c r="D370" s="106">
        <f t="shared" si="50"/>
        <v>0.26545080715971658</v>
      </c>
      <c r="E370" s="60">
        <f>rate</f>
        <v>3.5145930840192463E-3</v>
      </c>
      <c r="F370" s="31">
        <f>IF(AND(B369&gt;=gracia,12*años+gracia-B369&gt;0,$L$2&lt;&gt;1),PMT(E369,12*años-B369+gracia,-J369),0)</f>
        <v>-21.169659704331597</v>
      </c>
      <c r="G370" s="31">
        <f>IF(AND(12*años+gracia-B369&gt;0,$L$2&lt;&gt;1),J369*E370,0)</f>
        <v>-2.3144212657613794</v>
      </c>
      <c r="H370" s="31">
        <f>IF(AND(12*años+gracia-B369&gt;0,$L$2&lt;&gt;1),F370-G370,0)</f>
        <v>-18.855238438570218</v>
      </c>
      <c r="I370" s="62"/>
      <c r="J370" s="61">
        <f>J369-H370-I370</f>
        <v>-639.66232260853542</v>
      </c>
      <c r="K370" s="61">
        <f>K369*(1+$J$17)^(1/12)</f>
        <v>23792.73903340015</v>
      </c>
      <c r="L370" s="31">
        <f t="shared" si="51"/>
        <v>16</v>
      </c>
      <c r="M370" s="31">
        <f t="shared" si="52"/>
        <v>-2.6666666666666661</v>
      </c>
      <c r="N370" s="31">
        <f t="shared" si="53"/>
        <v>-2.35</v>
      </c>
      <c r="O370" s="62"/>
      <c r="P370" s="31">
        <f>O370+N370+M370+L370+I370+F370</f>
        <v>-10.186326370998263</v>
      </c>
      <c r="Q370" s="31">
        <f>SUM($P$36:P370)</f>
        <v>-3896.4550496874576</v>
      </c>
      <c r="R370" s="83">
        <f t="shared" si="54"/>
        <v>-0.18941535798525361</v>
      </c>
      <c r="S370" s="31">
        <f>SUMPRODUCT($P$36:P370,$D$36:D370)/D370-Q370</f>
        <v>-5056.1160025115732</v>
      </c>
      <c r="T370" s="31">
        <f t="shared" si="48"/>
        <v>19256.621661104156</v>
      </c>
      <c r="U370" s="31">
        <f t="shared" si="49"/>
        <v>19877.861661104158</v>
      </c>
      <c r="V370" s="80" cm="1">
        <f t="array" ref="V370">IF($L$2&lt;&gt;1,IRR(IF(ROW($P$36:P370)=ROW(P370),P370+K370+J370,$P$36:P370),V369/12)*12,0)</f>
        <v>9.4192478442214345E-2</v>
      </c>
      <c r="W370" s="83">
        <f>(1+V370/12)^(B370)-1</f>
        <v>12.618850019314507</v>
      </c>
    </row>
    <row r="371" spans="2:23" x14ac:dyDescent="0.25">
      <c r="B371" s="33">
        <v>335</v>
      </c>
      <c r="C371" s="105">
        <f t="shared" si="47"/>
        <v>3.9789301544717048E-3</v>
      </c>
      <c r="D371" s="106">
        <f t="shared" si="50"/>
        <v>0.26439878286975049</v>
      </c>
      <c r="E371" s="60">
        <f>rate</f>
        <v>3.5145930840192463E-3</v>
      </c>
      <c r="F371" s="31">
        <f>IF(AND(B370&gt;=gracia,12*años+gracia-B370&gt;0,$L$2&lt;&gt;1),PMT(E370,12*años-B370+gracia,-J370),0)</f>
        <v>-21.169659704331597</v>
      </c>
      <c r="G371" s="31">
        <f>IF(AND(12*años+gracia-B370&gt;0,$L$2&lt;&gt;1),J370*E371,0)</f>
        <v>-2.2481527751476467</v>
      </c>
      <c r="H371" s="31">
        <f>IF(AND(12*años+gracia-B370&gt;0,$L$2&lt;&gt;1),F371-G371,0)</f>
        <v>-18.921506929183948</v>
      </c>
      <c r="I371" s="62"/>
      <c r="J371" s="61">
        <f>J370-H371-I371</f>
        <v>-620.7408156793515</v>
      </c>
      <c r="K371" s="61">
        <f>K370*(1+$J$17)^(1/12)</f>
        <v>23908.551393733236</v>
      </c>
      <c r="L371" s="31">
        <f t="shared" si="51"/>
        <v>16</v>
      </c>
      <c r="M371" s="31">
        <f t="shared" si="52"/>
        <v>-2.6666666666666661</v>
      </c>
      <c r="N371" s="31">
        <f t="shared" si="53"/>
        <v>-2.35</v>
      </c>
      <c r="O371" s="62"/>
      <c r="P371" s="31">
        <f>O371+N371+M371+L371+I371+F371</f>
        <v>-10.186326370998263</v>
      </c>
      <c r="Q371" s="31">
        <f>SUM($P$36:P371)</f>
        <v>-3906.641376058456</v>
      </c>
      <c r="R371" s="83">
        <f t="shared" si="54"/>
        <v>-0.18943728581691441</v>
      </c>
      <c r="S371" s="31">
        <f>SUMPRODUCT($P$36:P371,$D$36:D371)/D371-Q371</f>
        <v>-5091.7376574312184</v>
      </c>
      <c r="T371" s="31">
        <f t="shared" si="48"/>
        <v>19381.169201995428</v>
      </c>
      <c r="U371" s="31">
        <f t="shared" si="49"/>
        <v>20002.40920199543</v>
      </c>
      <c r="V371" s="80" cm="1">
        <f t="array" ref="V371">IF($L$2&lt;&gt;1,IRR(IF(ROW($P$36:P371)=ROW(P371),P371+K371+J371,$P$36:P371),V370/12)*12,0)</f>
        <v>9.4079692275978566E-2</v>
      </c>
      <c r="W371" s="83">
        <f>(1+V371/12)^(B371)-1</f>
        <v>12.68293566879195</v>
      </c>
    </row>
    <row r="372" spans="2:23" x14ac:dyDescent="0.25">
      <c r="B372" s="33">
        <v>336</v>
      </c>
      <c r="C372" s="105">
        <f t="shared" si="47"/>
        <v>3.9789301544717048E-3</v>
      </c>
      <c r="D372" s="106">
        <f t="shared" si="50"/>
        <v>0.26335092792143577</v>
      </c>
      <c r="E372" s="60">
        <f>rate</f>
        <v>3.5145930840192463E-3</v>
      </c>
      <c r="F372" s="31">
        <f>IF(AND(B371&gt;=gracia,12*años+gracia-B371&gt;0,$L$2&lt;&gt;1),PMT(E371,12*años-B371+gracia,-J371),0)</f>
        <v>-21.1696597043316</v>
      </c>
      <c r="G372" s="31">
        <f>IF(AND(12*años+gracia-B371&gt;0,$L$2&lt;&gt;1),J371*E372,0)</f>
        <v>-2.1816513777551143</v>
      </c>
      <c r="H372" s="31">
        <f>IF(AND(12*años+gracia-B371&gt;0,$L$2&lt;&gt;1),F372-G372,0)</f>
        <v>-18.988008326576487</v>
      </c>
      <c r="I372" s="62"/>
      <c r="J372" s="61">
        <f>J371-H372-I372</f>
        <v>-601.75280735277499</v>
      </c>
      <c r="K372" s="61">
        <f>K371*(1+$J$17)^(1/12)</f>
        <v>24024.927476586337</v>
      </c>
      <c r="L372" s="31">
        <f t="shared" si="51"/>
        <v>16</v>
      </c>
      <c r="M372" s="31">
        <f t="shared" si="52"/>
        <v>-2.6666666666666661</v>
      </c>
      <c r="N372" s="31">
        <f t="shared" si="53"/>
        <v>-2.35</v>
      </c>
      <c r="O372" s="62"/>
      <c r="P372" s="31">
        <f>O372+N372+M372+L372+I372+F372</f>
        <v>-10.186326370998266</v>
      </c>
      <c r="Q372" s="31">
        <f>SUM($P$36:P372)</f>
        <v>-3916.8277024294543</v>
      </c>
      <c r="R372" s="83">
        <f t="shared" si="54"/>
        <v>-0.18945908312576767</v>
      </c>
      <c r="S372" s="31">
        <f>SUMPRODUCT($P$36:P372,$D$36:D372)/D372-Q372</f>
        <v>-5127.5415791089363</v>
      </c>
      <c r="T372" s="31">
        <f t="shared" si="48"/>
        <v>19506.346966804107</v>
      </c>
      <c r="U372" s="31">
        <f t="shared" si="49"/>
        <v>20127.586966804109</v>
      </c>
      <c r="V372" s="80" cm="1">
        <f t="array" ref="V372">IF($L$2&lt;&gt;1,IRR(IF(ROW($P$36:P372)=ROW(P372),P372+K372+J372,$P$36:P372),V371/12)*12,0)</f>
        <v>9.3967499621289363E-2</v>
      </c>
      <c r="W372" s="83">
        <f>(1+V372/12)^(B372)-1</f>
        <v>12.74729275757571</v>
      </c>
    </row>
    <row r="373" spans="2:23" x14ac:dyDescent="0.25">
      <c r="B373" s="33">
        <v>337</v>
      </c>
      <c r="C373" s="105">
        <f t="shared" si="47"/>
        <v>3.9789301544717048E-3</v>
      </c>
      <c r="D373" s="106">
        <f t="shared" si="50"/>
        <v>0.26230722579100013</v>
      </c>
      <c r="E373" s="60">
        <f>rate</f>
        <v>3.5145930840192463E-3</v>
      </c>
      <c r="F373" s="31">
        <f>IF(AND(B372&gt;=gracia,12*años+gracia-B372&gt;0,$L$2&lt;&gt;1),PMT(E372,12*años-B372+gracia,-J372),0)</f>
        <v>-21.169659704331597</v>
      </c>
      <c r="G373" s="31">
        <f>IF(AND(12*años+gracia-B372&gt;0,$L$2&lt;&gt;1),J372*E373,0)</f>
        <v>-2.114916255011229</v>
      </c>
      <c r="H373" s="31">
        <f>IF(AND(12*años+gracia-B372&gt;0,$L$2&lt;&gt;1),F373-G373,0)</f>
        <v>-19.05474344932037</v>
      </c>
      <c r="I373" s="62"/>
      <c r="J373" s="61">
        <f>J372-H373-I373</f>
        <v>-582.69806390345457</v>
      </c>
      <c r="K373" s="61">
        <f>K372*(1+$J$17)^(1/12)</f>
        <v>24141.870025907319</v>
      </c>
      <c r="L373" s="31">
        <f t="shared" si="51"/>
        <v>16</v>
      </c>
      <c r="M373" s="31">
        <f t="shared" si="52"/>
        <v>-2.6666666666666661</v>
      </c>
      <c r="N373" s="31">
        <f t="shared" si="53"/>
        <v>-2.35</v>
      </c>
      <c r="O373" s="62"/>
      <c r="P373" s="31">
        <f>O373+N373+M373+L373+I373+F373</f>
        <v>-10.186326370998263</v>
      </c>
      <c r="Q373" s="31">
        <f>SUM($P$36:P373)</f>
        <v>-3927.0140288004527</v>
      </c>
      <c r="R373" s="83">
        <f t="shared" si="54"/>
        <v>-0.1894807510737376</v>
      </c>
      <c r="S373" s="31">
        <f>SUMPRODUCT($P$36:P373,$D$36:D373)/D373-Q373</f>
        <v>-5163.5284927714274</v>
      </c>
      <c r="T373" s="31">
        <f t="shared" si="48"/>
        <v>19632.157933203413</v>
      </c>
      <c r="U373" s="31">
        <f t="shared" si="49"/>
        <v>20253.397933203414</v>
      </c>
      <c r="V373" s="80" cm="1">
        <f t="array" ref="V373">IF($L$2&lt;&gt;1,IRR(IF(ROW($P$36:P373)=ROW(P373),P373+K373+J373,$P$36:P373),V372/12)*12,0)</f>
        <v>9.3855896030842878E-2</v>
      </c>
      <c r="W373" s="83">
        <f>(1+V373/12)^(B373)-1</f>
        <v>12.811922604193713</v>
      </c>
    </row>
    <row r="374" spans="2:23" x14ac:dyDescent="0.25">
      <c r="B374" s="33">
        <v>338</v>
      </c>
      <c r="C374" s="105">
        <f t="shared" si="47"/>
        <v>3.9789301544717048E-3</v>
      </c>
      <c r="D374" s="106">
        <f t="shared" si="50"/>
        <v>0.26126766002015767</v>
      </c>
      <c r="E374" s="60">
        <f>rate</f>
        <v>3.5145930840192463E-3</v>
      </c>
      <c r="F374" s="31">
        <f>IF(AND(B373&gt;=gracia,12*años+gracia-B373&gt;0,$L$2&lt;&gt;1),PMT(E373,12*años-B373+gracia,-J373),0)</f>
        <v>-21.169659704331597</v>
      </c>
      <c r="G374" s="31">
        <f>IF(AND(12*años+gracia-B373&gt;0,$L$2&lt;&gt;1),J373*E374,0)</f>
        <v>-2.0479465854664864</v>
      </c>
      <c r="H374" s="31">
        <f>IF(AND(12*años+gracia-B373&gt;0,$L$2&lt;&gt;1),F374-G374,0)</f>
        <v>-19.121713118865109</v>
      </c>
      <c r="I374" s="62"/>
      <c r="J374" s="61">
        <f>J373-H374-I374</f>
        <v>-563.57635078458941</v>
      </c>
      <c r="K374" s="61">
        <f>K373*(1+$J$17)^(1/12)</f>
        <v>24259.381799000363</v>
      </c>
      <c r="L374" s="31">
        <f t="shared" si="51"/>
        <v>16</v>
      </c>
      <c r="M374" s="31">
        <f t="shared" si="52"/>
        <v>-2.6666666666666661</v>
      </c>
      <c r="N374" s="31">
        <f t="shared" si="53"/>
        <v>-2.35</v>
      </c>
      <c r="O374" s="62"/>
      <c r="P374" s="31">
        <f>O374+N374+M374+L374+I374+F374</f>
        <v>-10.186326370998263</v>
      </c>
      <c r="Q374" s="31">
        <f>SUM($P$36:P374)</f>
        <v>-3937.2003551714511</v>
      </c>
      <c r="R374" s="83">
        <f t="shared" si="54"/>
        <v>-0.18950229080899761</v>
      </c>
      <c r="S374" s="31">
        <f>SUMPRODUCT($P$36:P374,$D$36:D374)/D374-Q374</f>
        <v>-5199.6991265310153</v>
      </c>
      <c r="T374" s="31">
        <f t="shared" si="48"/>
        <v>19758.605093044323</v>
      </c>
      <c r="U374" s="31">
        <f t="shared" si="49"/>
        <v>20379.845093044325</v>
      </c>
      <c r="V374" s="80" cm="1">
        <f t="array" ref="V374">IF($L$2&lt;&gt;1,IRR(IF(ROW($P$36:P374)=ROW(P374),P374+K374+J374,$P$36:P374),V373/12)*12,0)</f>
        <v>9.3744877101265445E-2</v>
      </c>
      <c r="W374" s="83">
        <f>(1+V374/12)^(B374)-1</f>
        <v>12.876826532757237</v>
      </c>
    </row>
    <row r="375" spans="2:23" x14ac:dyDescent="0.25">
      <c r="B375" s="33">
        <v>339</v>
      </c>
      <c r="C375" s="105">
        <f t="shared" si="47"/>
        <v>3.9789301544717048E-3</v>
      </c>
      <c r="D375" s="106">
        <f t="shared" si="50"/>
        <v>0.2602322142158493</v>
      </c>
      <c r="E375" s="60">
        <f>rate</f>
        <v>3.5145930840192463E-3</v>
      </c>
      <c r="F375" s="31">
        <f>IF(AND(B374&gt;=gracia,12*años+gracia-B374&gt;0,$L$2&lt;&gt;1),PMT(E374,12*años-B374+gracia,-J374),0)</f>
        <v>-21.169659704331597</v>
      </c>
      <c r="G375" s="31">
        <f>IF(AND(12*años+gracia-B374&gt;0,$L$2&lt;&gt;1),J374*E375,0)</f>
        <v>-1.9807415447843226</v>
      </c>
      <c r="H375" s="31">
        <f>IF(AND(12*años+gracia-B374&gt;0,$L$2&lt;&gt;1),F375-G375,0)</f>
        <v>-19.188918159547274</v>
      </c>
      <c r="I375" s="62"/>
      <c r="J375" s="61">
        <f>J374-H375-I375</f>
        <v>-544.38743262504215</v>
      </c>
      <c r="K375" s="61">
        <f>K374*(1+$J$17)^(1/12)</f>
        <v>24377.465566590959</v>
      </c>
      <c r="L375" s="31">
        <f t="shared" si="51"/>
        <v>16</v>
      </c>
      <c r="M375" s="31">
        <f t="shared" si="52"/>
        <v>-2.6666666666666661</v>
      </c>
      <c r="N375" s="31">
        <f t="shared" si="53"/>
        <v>-2.35</v>
      </c>
      <c r="O375" s="62"/>
      <c r="P375" s="31">
        <f>O375+N375+M375+L375+I375+F375</f>
        <v>-10.186326370998263</v>
      </c>
      <c r="Q375" s="31">
        <f>SUM($P$36:P375)</f>
        <v>-3947.3866815424494</v>
      </c>
      <c r="R375" s="83">
        <f t="shared" si="54"/>
        <v>-0.1895237034661735</v>
      </c>
      <c r="S375" s="31">
        <f>SUMPRODUCT($P$36:P375,$D$36:D375)/D375-Q375</f>
        <v>-5236.0542113971387</v>
      </c>
      <c r="T375" s="31">
        <f t="shared" si="48"/>
        <v>19885.691452423467</v>
      </c>
      <c r="U375" s="31">
        <f t="shared" si="49"/>
        <v>20506.931452423469</v>
      </c>
      <c r="V375" s="80" cm="1">
        <f t="array" ref="V375">IF($L$2&lt;&gt;1,IRR(IF(ROW($P$36:P375)=ROW(P375),P375+K375+J375,$P$36:P375),V374/12)*12,0)</f>
        <v>9.3634438472564696E-2</v>
      </c>
      <c r="W375" s="83">
        <f>(1+V375/12)^(B375)-1</f>
        <v>12.942005872991068</v>
      </c>
    </row>
    <row r="376" spans="2:23" x14ac:dyDescent="0.25">
      <c r="B376" s="33">
        <v>340</v>
      </c>
      <c r="C376" s="105">
        <f t="shared" si="47"/>
        <v>3.9789301544717048E-3</v>
      </c>
      <c r="D376" s="106">
        <f t="shared" si="50"/>
        <v>0.25920087204998427</v>
      </c>
      <c r="E376" s="60">
        <f>rate</f>
        <v>3.5145930840192463E-3</v>
      </c>
      <c r="F376" s="31">
        <f>IF(AND(B375&gt;=gracia,12*años+gracia-B375&gt;0,$L$2&lt;&gt;1),PMT(E375,12*años-B375+gracia,-J375),0)</f>
        <v>-21.169659704331597</v>
      </c>
      <c r="G376" s="31">
        <f>IF(AND(12*años+gracia-B375&gt;0,$L$2&lt;&gt;1),J375*E376,0)</f>
        <v>-1.9133003057309665</v>
      </c>
      <c r="H376" s="31">
        <f>IF(AND(12*años+gracia-B375&gt;0,$L$2&lt;&gt;1),F376-G376,0)</f>
        <v>-19.25635939860063</v>
      </c>
      <c r="I376" s="62"/>
      <c r="J376" s="61">
        <f>J375-H376-I376</f>
        <v>-525.13107322644157</v>
      </c>
      <c r="K376" s="61">
        <f>K375*(1+$J$17)^(1/12)</f>
        <v>24496.124112891252</v>
      </c>
      <c r="L376" s="31">
        <f t="shared" si="51"/>
        <v>16</v>
      </c>
      <c r="M376" s="31">
        <f t="shared" si="52"/>
        <v>-2.6666666666666661</v>
      </c>
      <c r="N376" s="31">
        <f t="shared" si="53"/>
        <v>-2.35</v>
      </c>
      <c r="O376" s="62"/>
      <c r="P376" s="31">
        <f>O376+N376+M376+L376+I376+F376</f>
        <v>-10.186326370998263</v>
      </c>
      <c r="Q376" s="31">
        <f>SUM($P$36:P376)</f>
        <v>-3957.5730079134478</v>
      </c>
      <c r="R376" s="83">
        <f t="shared" si="54"/>
        <v>-0.18954499016654247</v>
      </c>
      <c r="S376" s="31">
        <f>SUMPRODUCT($P$36:P376,$D$36:D376)/D376-Q376</f>
        <v>-5272.5944812878624</v>
      </c>
      <c r="T376" s="31">
        <f t="shared" si="48"/>
        <v>20013.420031751361</v>
      </c>
      <c r="U376" s="31">
        <f t="shared" si="49"/>
        <v>20634.660031751362</v>
      </c>
      <c r="V376" s="80" cm="1">
        <f t="array" ref="V376">IF($L$2&lt;&gt;1,IRR(IF(ROW($P$36:P376)=ROW(P376),P376+K376+J376,$P$36:P376),V375/12)*12,0)</f>
        <v>9.352457582760465E-2</v>
      </c>
      <c r="W376" s="83">
        <f>(1+V376/12)^(B376)-1</f>
        <v>13.007461960265349</v>
      </c>
    </row>
    <row r="377" spans="2:23" x14ac:dyDescent="0.25">
      <c r="B377" s="33">
        <v>341</v>
      </c>
      <c r="C377" s="105">
        <f t="shared" si="47"/>
        <v>3.9789301544717048E-3</v>
      </c>
      <c r="D377" s="106">
        <f t="shared" si="50"/>
        <v>0.25817361725918264</v>
      </c>
      <c r="E377" s="60">
        <f>rate</f>
        <v>3.5145930840192463E-3</v>
      </c>
      <c r="F377" s="31">
        <f>IF(AND(B376&gt;=gracia,12*años+gracia-B376&gt;0,$L$2&lt;&gt;1),PMT(E376,12*años-B376+gracia,-J376),0)</f>
        <v>-21.169659704331597</v>
      </c>
      <c r="G377" s="31">
        <f>IF(AND(12*años+gracia-B376&gt;0,$L$2&lt;&gt;1),J376*E377,0)</f>
        <v>-1.8456220381652559</v>
      </c>
      <c r="H377" s="31">
        <f>IF(AND(12*años+gracia-B376&gt;0,$L$2&lt;&gt;1),F377-G377,0)</f>
        <v>-19.32403766616634</v>
      </c>
      <c r="I377" s="62"/>
      <c r="J377" s="61">
        <f>J376-H377-I377</f>
        <v>-505.80703556027521</v>
      </c>
      <c r="K377" s="61">
        <f>K376*(1+$J$17)^(1/12)</f>
        <v>24615.36023566567</v>
      </c>
      <c r="L377" s="31">
        <f t="shared" si="51"/>
        <v>16</v>
      </c>
      <c r="M377" s="31">
        <f t="shared" si="52"/>
        <v>-2.6666666666666661</v>
      </c>
      <c r="N377" s="31">
        <f t="shared" si="53"/>
        <v>-2.35</v>
      </c>
      <c r="O377" s="62"/>
      <c r="P377" s="31">
        <f>O377+N377+M377+L377+I377+F377</f>
        <v>-10.186326370998263</v>
      </c>
      <c r="Q377" s="31">
        <f>SUM($P$36:P377)</f>
        <v>-3967.7593342844461</v>
      </c>
      <c r="R377" s="83">
        <f t="shared" si="54"/>
        <v>-0.18956615201822893</v>
      </c>
      <c r="S377" s="31">
        <f>SUMPRODUCT($P$36:P377,$D$36:D377)/D377-Q377</f>
        <v>-5309.3206730414713</v>
      </c>
      <c r="T377" s="31">
        <f t="shared" si="48"/>
        <v>20141.79386582095</v>
      </c>
      <c r="U377" s="31">
        <f t="shared" si="49"/>
        <v>20763.033865820951</v>
      </c>
      <c r="V377" s="80" cm="1">
        <f t="array" ref="V377">IF($L$2&lt;&gt;1,IRR(IF(ROW($P$36:P377)=ROW(P377),P377+K377+J377,$P$36:P377),V376/12)*12,0)</f>
        <v>9.3415284891594119E-2</v>
      </c>
      <c r="W377" s="83">
        <f>(1+V377/12)^(B377)-1</f>
        <v>13.07319613563574</v>
      </c>
    </row>
    <row r="378" spans="2:23" x14ac:dyDescent="0.25">
      <c r="B378" s="33">
        <v>342</v>
      </c>
      <c r="C378" s="105">
        <f t="shared" si="47"/>
        <v>3.9789301544717048E-3</v>
      </c>
      <c r="D378" s="106">
        <f t="shared" si="50"/>
        <v>0.25715043364451901</v>
      </c>
      <c r="E378" s="60">
        <f>rate</f>
        <v>3.5145930840192463E-3</v>
      </c>
      <c r="F378" s="31">
        <f>IF(AND(B377&gt;=gracia,12*años+gracia-B377&gt;0,$L$2&lt;&gt;1),PMT(E377,12*años-B377+gracia,-J377),0)</f>
        <v>-21.169659704331597</v>
      </c>
      <c r="G378" s="31">
        <f>IF(AND(12*años+gracia-B377&gt;0,$L$2&lt;&gt;1),J377*E378,0)</f>
        <v>-1.7777059090284202</v>
      </c>
      <c r="H378" s="31">
        <f>IF(AND(12*años+gracia-B377&gt;0,$L$2&lt;&gt;1),F378-G378,0)</f>
        <v>-19.391953795303177</v>
      </c>
      <c r="I378" s="62"/>
      <c r="J378" s="61">
        <f>J377-H378-I378</f>
        <v>-486.41508176497206</v>
      </c>
      <c r="K378" s="61">
        <f>K377*(1+$J$17)^(1/12)</f>
        <v>24735.176746296907</v>
      </c>
      <c r="L378" s="31">
        <f t="shared" si="51"/>
        <v>16</v>
      </c>
      <c r="M378" s="31">
        <f t="shared" si="52"/>
        <v>-2.6666666666666661</v>
      </c>
      <c r="N378" s="31">
        <f t="shared" si="53"/>
        <v>-2.35</v>
      </c>
      <c r="O378" s="62"/>
      <c r="P378" s="31">
        <f>O378+N378+M378+L378+I378+F378</f>
        <v>-10.186326370998263</v>
      </c>
      <c r="Q378" s="31">
        <f>SUM($P$36:P378)</f>
        <v>-3977.9456606554445</v>
      </c>
      <c r="R378" s="83">
        <f t="shared" si="54"/>
        <v>-0.18958719011639674</v>
      </c>
      <c r="S378" s="31">
        <f>SUMPRODUCT($P$36:P378,$D$36:D378)/D378-Q378</f>
        <v>-5346.2335264280664</v>
      </c>
      <c r="T378" s="31">
        <f t="shared" si="48"/>
        <v>20270.816003876491</v>
      </c>
      <c r="U378" s="31">
        <f t="shared" si="49"/>
        <v>20892.056003876492</v>
      </c>
      <c r="V378" s="80" cm="1">
        <f t="array" ref="V378">IF($L$2&lt;&gt;1,IRR(IF(ROW($P$36:P378)=ROW(P378),P378+K378+J378,$P$36:P378),V377/12)*12,0)</f>
        <v>9.3306561431545809E-2</v>
      </c>
      <c r="W378" s="83">
        <f>(1+V378/12)^(B378)-1</f>
        <v>13.139209745864829</v>
      </c>
    </row>
    <row r="379" spans="2:23" x14ac:dyDescent="0.25">
      <c r="B379" s="33">
        <v>343</v>
      </c>
      <c r="C379" s="105">
        <f t="shared" si="47"/>
        <v>3.9789301544717048E-3</v>
      </c>
      <c r="D379" s="106">
        <f t="shared" si="50"/>
        <v>0.25613130507126675</v>
      </c>
      <c r="E379" s="60">
        <f>rate</f>
        <v>3.5145930840192463E-3</v>
      </c>
      <c r="F379" s="31">
        <f>IF(AND(B378&gt;=gracia,12*años+gracia-B378&gt;0,$L$2&lt;&gt;1),PMT(E378,12*años-B378+gracia,-J378),0)</f>
        <v>-21.169659704331593</v>
      </c>
      <c r="G379" s="31">
        <f>IF(AND(12*años+gracia-B378&gt;0,$L$2&lt;&gt;1),J378*E379,0)</f>
        <v>-1.7095510823338269</v>
      </c>
      <c r="H379" s="31">
        <f>IF(AND(12*años+gracia-B378&gt;0,$L$2&lt;&gt;1),F379-G379,0)</f>
        <v>-19.460108621997765</v>
      </c>
      <c r="I379" s="62"/>
      <c r="J379" s="61">
        <f>J378-H379-I379</f>
        <v>-466.95497314297427</v>
      </c>
      <c r="K379" s="61">
        <f>K378*(1+$J$17)^(1/12)</f>
        <v>24855.576469852203</v>
      </c>
      <c r="L379" s="31">
        <f t="shared" si="51"/>
        <v>16</v>
      </c>
      <c r="M379" s="31">
        <f t="shared" si="52"/>
        <v>-2.6666666666666661</v>
      </c>
      <c r="N379" s="31">
        <f t="shared" si="53"/>
        <v>-2.35</v>
      </c>
      <c r="O379" s="62"/>
      <c r="P379" s="31">
        <f>O379+N379+M379+L379+I379+F379</f>
        <v>-10.186326370998259</v>
      </c>
      <c r="Q379" s="31">
        <f>SUM($P$36:P379)</f>
        <v>-3988.1319870264429</v>
      </c>
      <c r="R379" s="83">
        <f t="shared" si="54"/>
        <v>-0.18960810554343824</v>
      </c>
      <c r="S379" s="31">
        <f>SUMPRODUCT($P$36:P379,$D$36:D379)/D379-Q379</f>
        <v>-5383.3337841612502</v>
      </c>
      <c r="T379" s="31">
        <f t="shared" si="48"/>
        <v>20400.489509682786</v>
      </c>
      <c r="U379" s="31">
        <f t="shared" si="49"/>
        <v>21021.729509682787</v>
      </c>
      <c r="V379" s="80" cm="1">
        <f t="array" ref="V379">IF($L$2&lt;&gt;1,IRR(IF(ROW($P$36:P379)=ROW(P379),P379+K379+J379,$P$36:P379),V378/12)*12,0)</f>
        <v>9.3198401255780716E-2</v>
      </c>
      <c r="W379" s="83">
        <f>(1+V379/12)^(B379)-1</f>
        <v>13.205504143459281</v>
      </c>
    </row>
    <row r="380" spans="2:23" x14ac:dyDescent="0.25">
      <c r="B380" s="33">
        <v>344</v>
      </c>
      <c r="C380" s="105">
        <f t="shared" si="47"/>
        <v>3.9789301544717048E-3</v>
      </c>
      <c r="D380" s="106">
        <f t="shared" si="50"/>
        <v>0.25511621546864388</v>
      </c>
      <c r="E380" s="60">
        <f>rate</f>
        <v>3.5145930840192463E-3</v>
      </c>
      <c r="F380" s="31">
        <f>IF(AND(B379&gt;=gracia,12*años+gracia-B379&gt;0,$L$2&lt;&gt;1),PMT(E379,12*años-B379+gracia,-J379),0)</f>
        <v>-21.169659704331597</v>
      </c>
      <c r="G380" s="31">
        <f>IF(AND(12*años+gracia-B379&gt;0,$L$2&lt;&gt;1),J379*E380,0)</f>
        <v>-1.6411567191566903</v>
      </c>
      <c r="H380" s="31">
        <f>IF(AND(12*años+gracia-B379&gt;0,$L$2&lt;&gt;1),F380-G380,0)</f>
        <v>-19.528502985174907</v>
      </c>
      <c r="I380" s="62"/>
      <c r="J380" s="61">
        <f>J379-H380-I380</f>
        <v>-447.42647015779937</v>
      </c>
      <c r="K380" s="61">
        <f>K379*(1+$J$17)^(1/12)</f>
        <v>24976.562245149958</v>
      </c>
      <c r="L380" s="31">
        <f t="shared" si="51"/>
        <v>16</v>
      </c>
      <c r="M380" s="31">
        <f t="shared" si="52"/>
        <v>-2.6666666666666661</v>
      </c>
      <c r="N380" s="31">
        <f t="shared" si="53"/>
        <v>-2.35</v>
      </c>
      <c r="O380" s="62"/>
      <c r="P380" s="31">
        <f>O380+N380+M380+L380+I380+F380</f>
        <v>-10.186326370998263</v>
      </c>
      <c r="Q380" s="31">
        <f>SUM($P$36:P380)</f>
        <v>-3998.3183133974412</v>
      </c>
      <c r="R380" s="83">
        <f t="shared" si="54"/>
        <v>-0.18962889936915969</v>
      </c>
      <c r="S380" s="31">
        <f>SUMPRODUCT($P$36:P380,$D$36:D380)/D380-Q380</f>
        <v>-5420.622191909828</v>
      </c>
      <c r="T380" s="31">
        <f t="shared" si="48"/>
        <v>20530.817461594717</v>
      </c>
      <c r="U380" s="31">
        <f t="shared" si="49"/>
        <v>21152.057461594719</v>
      </c>
      <c r="V380" s="80" cm="1">
        <f t="array" ref="V380">IF($L$2&lt;&gt;1,IRR(IF(ROW($P$36:P380)=ROW(P380),P380+K380+J380,$P$36:P380),V379/12)*12,0)</f>
        <v>9.3090800213435188E-2</v>
      </c>
      <c r="W380" s="83">
        <f>(1+V380/12)^(B380)-1</f>
        <v>13.27208068670561</v>
      </c>
    </row>
    <row r="381" spans="2:23" x14ac:dyDescent="0.25">
      <c r="B381" s="33">
        <v>345</v>
      </c>
      <c r="C381" s="105">
        <f t="shared" si="47"/>
        <v>3.9789301544717048E-3</v>
      </c>
      <c r="D381" s="106">
        <f t="shared" si="50"/>
        <v>0.25410514882955942</v>
      </c>
      <c r="E381" s="60">
        <f>rate</f>
        <v>3.5145930840192463E-3</v>
      </c>
      <c r="F381" s="31">
        <f>IF(AND(B380&gt;=gracia,12*años+gracia-B380&gt;0,$L$2&lt;&gt;1),PMT(E380,12*años-B380+gracia,-J380),0)</f>
        <v>-21.169659704331597</v>
      </c>
      <c r="G381" s="31">
        <f>IF(AND(12*años+gracia-B380&gt;0,$L$2&lt;&gt;1),J380*E381,0)</f>
        <v>-1.5725219776237453</v>
      </c>
      <c r="H381" s="31">
        <f>IF(AND(12*años+gracia-B380&gt;0,$L$2&lt;&gt;1),F381-G381,0)</f>
        <v>-19.597137726707853</v>
      </c>
      <c r="I381" s="62"/>
      <c r="J381" s="61">
        <f>J380-H381-I381</f>
        <v>-427.82933243109153</v>
      </c>
      <c r="K381" s="61">
        <f>K380*(1+$J$17)^(1/12)</f>
        <v>25098.136924826664</v>
      </c>
      <c r="L381" s="31">
        <f t="shared" si="51"/>
        <v>16</v>
      </c>
      <c r="M381" s="31">
        <f t="shared" si="52"/>
        <v>-2.6666666666666661</v>
      </c>
      <c r="N381" s="31">
        <f t="shared" si="53"/>
        <v>-2.35</v>
      </c>
      <c r="O381" s="62"/>
      <c r="P381" s="31">
        <f>O381+N381+M381+L381+I381+F381</f>
        <v>-10.186326370998263</v>
      </c>
      <c r="Q381" s="31">
        <f>SUM($P$36:P381)</f>
        <v>-4008.5046397684396</v>
      </c>
      <c r="R381" s="83">
        <f t="shared" si="54"/>
        <v>-0.18964957265096397</v>
      </c>
      <c r="S381" s="31">
        <f>SUMPRODUCT($P$36:P381,$D$36:D381)/D381-Q381</f>
        <v>-5458.0994983095698</v>
      </c>
      <c r="T381" s="31">
        <f t="shared" si="48"/>
        <v>20661.802952627135</v>
      </c>
      <c r="U381" s="31">
        <f t="shared" si="49"/>
        <v>21283.042952627136</v>
      </c>
      <c r="V381" s="80" cm="1">
        <f t="array" ref="V381">IF($L$2&lt;&gt;1,IRR(IF(ROW($P$36:P381)=ROW(P381),P381+K381+J381,$P$36:P381),V380/12)*12,0)</f>
        <v>9.2983754193949331E-2</v>
      </c>
      <c r="W381" s="83">
        <f>(1+V381/12)^(B381)-1</f>
        <v>13.338940739697506</v>
      </c>
    </row>
    <row r="382" spans="2:23" x14ac:dyDescent="0.25">
      <c r="B382" s="33">
        <v>346</v>
      </c>
      <c r="C382" s="105">
        <f t="shared" si="47"/>
        <v>3.9789301544717048E-3</v>
      </c>
      <c r="D382" s="106">
        <f t="shared" si="50"/>
        <v>0.25309808921036114</v>
      </c>
      <c r="E382" s="60">
        <f>rate</f>
        <v>3.5145930840192463E-3</v>
      </c>
      <c r="F382" s="31">
        <f>IF(AND(B381&gt;=gracia,12*años+gracia-B381&gt;0,$L$2&lt;&gt;1),PMT(E381,12*años-B381+gracia,-J381),0)</f>
        <v>-21.169659704331597</v>
      </c>
      <c r="G382" s="31">
        <f>IF(AND(12*años+gracia-B381&gt;0,$L$2&lt;&gt;1),J381*E382,0)</f>
        <v>-1.5036460129028852</v>
      </c>
      <c r="H382" s="31">
        <f>IF(AND(12*años+gracia-B381&gt;0,$L$2&lt;&gt;1),F382-G382,0)</f>
        <v>-19.666013691428713</v>
      </c>
      <c r="I382" s="62"/>
      <c r="J382" s="61">
        <f>J381-H382-I382</f>
        <v>-408.16331873966283</v>
      </c>
      <c r="K382" s="61">
        <f>K381*(1+$J$17)^(1/12)</f>
        <v>25220.303375404161</v>
      </c>
      <c r="L382" s="31">
        <f t="shared" si="51"/>
        <v>16</v>
      </c>
      <c r="M382" s="31">
        <f t="shared" si="52"/>
        <v>-2.6666666666666661</v>
      </c>
      <c r="N382" s="31">
        <f t="shared" si="53"/>
        <v>-2.35</v>
      </c>
      <c r="O382" s="62"/>
      <c r="P382" s="31">
        <f>O382+N382+M382+L382+I382+F382</f>
        <v>-10.186326370998263</v>
      </c>
      <c r="Q382" s="31">
        <f>SUM($P$36:P382)</f>
        <v>-4018.6909661394379</v>
      </c>
      <c r="R382" s="83">
        <f t="shared" si="54"/>
        <v>-0.18967012643402942</v>
      </c>
      <c r="S382" s="31">
        <f>SUMPRODUCT($P$36:P382,$D$36:D382)/D382-Q382</f>
        <v>-5495.7664549750134</v>
      </c>
      <c r="T382" s="31">
        <f t="shared" si="48"/>
        <v>20793.44909052506</v>
      </c>
      <c r="U382" s="31">
        <f t="shared" si="49"/>
        <v>21414.689090525062</v>
      </c>
      <c r="V382" s="80" cm="1">
        <f t="array" ref="V382">IF($L$2&lt;&gt;1,IRR(IF(ROW($P$36:P382)=ROW(P382),P382+K382+J382,$P$36:P382),V381/12)*12,0)</f>
        <v>9.2877259126598055E-2</v>
      </c>
      <c r="W382" s="83">
        <f>(1+V382/12)^(B382)-1</f>
        <v>13.406085672374527</v>
      </c>
    </row>
    <row r="383" spans="2:23" x14ac:dyDescent="0.25">
      <c r="B383" s="33">
        <v>347</v>
      </c>
      <c r="C383" s="105">
        <f t="shared" si="47"/>
        <v>3.9789301544717048E-3</v>
      </c>
      <c r="D383" s="106">
        <f t="shared" si="50"/>
        <v>0.25209502073058404</v>
      </c>
      <c r="E383" s="60">
        <f>rate</f>
        <v>3.5145930840192463E-3</v>
      </c>
      <c r="F383" s="31">
        <f>IF(AND(B382&gt;=gracia,12*años+gracia-B382&gt;0,$L$2&lt;&gt;1),PMT(E382,12*años-B382+gracia,-J382),0)</f>
        <v>-21.169659704331597</v>
      </c>
      <c r="G383" s="31">
        <f>IF(AND(12*años+gracia-B382&gt;0,$L$2&lt;&gt;1),J382*E383,0)</f>
        <v>-1.4345279771927621</v>
      </c>
      <c r="H383" s="31">
        <f>IF(AND(12*años+gracia-B382&gt;0,$L$2&lt;&gt;1),F383-G383,0)</f>
        <v>-19.735131727138835</v>
      </c>
      <c r="I383" s="62"/>
      <c r="J383" s="61">
        <f>J382-H383-I383</f>
        <v>-388.42818701252401</v>
      </c>
      <c r="K383" s="61">
        <f>K382*(1+$J$17)^(1/12)</f>
        <v>25343.064477357231</v>
      </c>
      <c r="L383" s="31">
        <f t="shared" si="51"/>
        <v>16</v>
      </c>
      <c r="M383" s="31">
        <f t="shared" si="52"/>
        <v>-2.6666666666666661</v>
      </c>
      <c r="N383" s="31">
        <f t="shared" si="53"/>
        <v>-2.35</v>
      </c>
      <c r="O383" s="62"/>
      <c r="P383" s="31">
        <f>O383+N383+M383+L383+I383+F383</f>
        <v>-10.186326370998263</v>
      </c>
      <c r="Q383" s="31">
        <f>SUM($P$36:P383)</f>
        <v>-4028.8772925104363</v>
      </c>
      <c r="R383" s="83">
        <f t="shared" si="54"/>
        <v>-0.18969056175148652</v>
      </c>
      <c r="S383" s="31">
        <f>SUMPRODUCT($P$36:P383,$D$36:D383)/D383-Q383</f>
        <v>-5533.6238165113227</v>
      </c>
      <c r="T383" s="31">
        <f t="shared" si="48"/>
        <v>20925.758997834273</v>
      </c>
      <c r="U383" s="31">
        <f t="shared" si="49"/>
        <v>21546.998997834275</v>
      </c>
      <c r="V383" s="80" cm="1">
        <f t="array" ref="V383">IF($L$2&lt;&gt;1,IRR(IF(ROW($P$36:P383)=ROW(P383),P383+K383+J383,$P$36:P383),V382/12)*12,0)</f>
        <v>9.2771310979992805E-2</v>
      </c>
      <c r="W383" s="83">
        <f>(1+V383/12)^(B383)-1</f>
        <v>13.473516860547868</v>
      </c>
    </row>
    <row r="384" spans="2:23" x14ac:dyDescent="0.25">
      <c r="B384" s="33">
        <v>348</v>
      </c>
      <c r="C384" s="105">
        <f t="shared" si="47"/>
        <v>3.9789301544717048E-3</v>
      </c>
      <c r="D384" s="106">
        <f t="shared" si="50"/>
        <v>0.2510959275727</v>
      </c>
      <c r="E384" s="60">
        <f>rate</f>
        <v>3.5145930840192463E-3</v>
      </c>
      <c r="F384" s="31">
        <f>IF(AND(B383&gt;=gracia,12*años+gracia-B383&gt;0,$L$2&lt;&gt;1),PMT(E383,12*años-B383+gracia,-J383),0)</f>
        <v>-21.169659704331597</v>
      </c>
      <c r="G384" s="31">
        <f>IF(AND(12*años+gracia-B383&gt;0,$L$2&lt;&gt;1),J383*E384,0)</f>
        <v>-1.3651670197123513</v>
      </c>
      <c r="H384" s="31">
        <f>IF(AND(12*años+gracia-B383&gt;0,$L$2&lt;&gt;1),F384-G384,0)</f>
        <v>-19.804492684619245</v>
      </c>
      <c r="I384" s="62"/>
      <c r="J384" s="61">
        <f>J383-H384-I384</f>
        <v>-368.62369432790479</v>
      </c>
      <c r="K384" s="61">
        <f>K383*(1+$J$17)^(1/12)</f>
        <v>25466.423125181518</v>
      </c>
      <c r="L384" s="31">
        <f t="shared" si="51"/>
        <v>16</v>
      </c>
      <c r="M384" s="31">
        <f t="shared" si="52"/>
        <v>-2.6666666666666661</v>
      </c>
      <c r="N384" s="31">
        <f t="shared" si="53"/>
        <v>-2.35</v>
      </c>
      <c r="O384" s="62"/>
      <c r="P384" s="31">
        <f>O384+N384+M384+L384+I384+F384</f>
        <v>-10.186326370998263</v>
      </c>
      <c r="Q384" s="31">
        <f>SUM($P$36:P384)</f>
        <v>-4039.0636188814346</v>
      </c>
      <c r="R384" s="83">
        <f t="shared" si="54"/>
        <v>-0.18971087962459032</v>
      </c>
      <c r="S384" s="31">
        <f>SUMPRODUCT($P$36:P384,$D$36:D384)/D384-Q384</f>
        <v>-5571.6723405261782</v>
      </c>
      <c r="T384" s="31">
        <f t="shared" si="48"/>
        <v>21058.735811972179</v>
      </c>
      <c r="U384" s="31">
        <f t="shared" si="49"/>
        <v>21679.975811972181</v>
      </c>
      <c r="V384" s="80" cm="1">
        <f t="array" ref="V384">IF($L$2&lt;&gt;1,IRR(IF(ROW($P$36:P384)=ROW(P384),P384+K384+J384,$P$36:P384),V383/12)*12,0)</f>
        <v>9.2665905761625922E-2</v>
      </c>
      <c r="W384" s="83">
        <f>(1+V384/12)^(B384)-1</f>
        <v>13.541235685939821</v>
      </c>
    </row>
    <row r="385" spans="2:23" x14ac:dyDescent="0.25">
      <c r="B385" s="33">
        <v>349</v>
      </c>
      <c r="C385" s="105">
        <f t="shared" si="47"/>
        <v>3.9789301544717048E-3</v>
      </c>
      <c r="D385" s="106">
        <f t="shared" si="50"/>
        <v>0.25010079398186824</v>
      </c>
      <c r="E385" s="60">
        <f>rate</f>
        <v>3.5145930840192463E-3</v>
      </c>
      <c r="F385" s="31">
        <f>IF(AND(B384&gt;=gracia,12*años+gracia-B384&gt;0,$L$2&lt;&gt;1),PMT(E384,12*años-B384+gracia,-J384),0)</f>
        <v>-21.169659704331597</v>
      </c>
      <c r="G385" s="31">
        <f>IF(AND(12*años+gracia-B384&gt;0,$L$2&lt;&gt;1),J384*E385,0)</f>
        <v>-1.2955622866904788</v>
      </c>
      <c r="H385" s="31">
        <f>IF(AND(12*años+gracia-B384&gt;0,$L$2&lt;&gt;1),F385-G385,0)</f>
        <v>-19.874097417641117</v>
      </c>
      <c r="I385" s="62"/>
      <c r="J385" s="61">
        <f>J384-H385-I385</f>
        <v>-348.74959691026368</v>
      </c>
      <c r="K385" s="61">
        <f>K384*(1+$J$17)^(1/12)</f>
        <v>25590.38222746176</v>
      </c>
      <c r="L385" s="31">
        <f t="shared" si="51"/>
        <v>16</v>
      </c>
      <c r="M385" s="31">
        <f t="shared" si="52"/>
        <v>-2.6666666666666661</v>
      </c>
      <c r="N385" s="31">
        <f t="shared" si="53"/>
        <v>-2.35</v>
      </c>
      <c r="O385" s="62"/>
      <c r="P385" s="31">
        <f>O385+N385+M385+L385+I385+F385</f>
        <v>-10.186326370998263</v>
      </c>
      <c r="Q385" s="31">
        <f>SUM($P$36:P385)</f>
        <v>-4049.249945252433</v>
      </c>
      <c r="R385" s="83">
        <f t="shared" si="54"/>
        <v>-0.1897310810628913</v>
      </c>
      <c r="S385" s="31">
        <f>SUMPRODUCT($P$36:P385,$D$36:D385)/D385-Q385</f>
        <v>-5609.9127876417315</v>
      </c>
      <c r="T385" s="31">
        <f t="shared" si="48"/>
        <v>21192.382685299064</v>
      </c>
      <c r="U385" s="31">
        <f t="shared" si="49"/>
        <v>21813.622685299066</v>
      </c>
      <c r="V385" s="80" cm="1">
        <f t="array" ref="V385">IF($L$2&lt;&gt;1,IRR(IF(ROW($P$36:P385)=ROW(P385),P385+K385+J385,$P$36:P385),V384/12)*12,0)</f>
        <v>9.2561039517383037E-2</v>
      </c>
      <c r="W385" s="83">
        <f>(1+V385/12)^(B385)-1</f>
        <v>13.609243536208918</v>
      </c>
    </row>
    <row r="386" spans="2:23" x14ac:dyDescent="0.25">
      <c r="B386" s="33">
        <v>350</v>
      </c>
      <c r="C386" s="105">
        <f t="shared" si="47"/>
        <v>3.9789301544717048E-3</v>
      </c>
      <c r="D386" s="106">
        <f t="shared" si="50"/>
        <v>0.24910960426568698</v>
      </c>
      <c r="E386" s="60">
        <f>rate</f>
        <v>3.5145930840192463E-3</v>
      </c>
      <c r="F386" s="31">
        <f>IF(AND(B385&gt;=gracia,12*años+gracia-B385&gt;0,$L$2&lt;&gt;1),PMT(E385,12*años-B385+gracia,-J385),0)</f>
        <v>-21.169659704331597</v>
      </c>
      <c r="G386" s="31">
        <f>IF(AND(12*años+gracia-B385&gt;0,$L$2&lt;&gt;1),J385*E386,0)</f>
        <v>-1.2257129213553126</v>
      </c>
      <c r="H386" s="31">
        <f>IF(AND(12*años+gracia-B385&gt;0,$L$2&lt;&gt;1),F386-G386,0)</f>
        <v>-19.943946782976283</v>
      </c>
      <c r="I386" s="62"/>
      <c r="J386" s="61">
        <f>J385-H386-I386</f>
        <v>-328.80565012728738</v>
      </c>
      <c r="K386" s="61">
        <f>K385*(1+$J$17)^(1/12)</f>
        <v>25714.944706940387</v>
      </c>
      <c r="L386" s="31">
        <f t="shared" si="51"/>
        <v>16</v>
      </c>
      <c r="M386" s="31">
        <f t="shared" si="52"/>
        <v>-2.6666666666666661</v>
      </c>
      <c r="N386" s="31">
        <f t="shared" si="53"/>
        <v>-2.35</v>
      </c>
      <c r="O386" s="62"/>
      <c r="P386" s="31">
        <f>O386+N386+M386+L386+I386+F386</f>
        <v>-10.186326370998263</v>
      </c>
      <c r="Q386" s="31">
        <f>SUM($P$36:P386)</f>
        <v>-4059.4362716234314</v>
      </c>
      <c r="R386" s="83">
        <f t="shared" si="54"/>
        <v>-0.18975116706440195</v>
      </c>
      <c r="S386" s="31">
        <f>SUMPRODUCT($P$36:P386,$D$36:D386)/D386-Q386</f>
        <v>-5648.3459215065941</v>
      </c>
      <c r="T386" s="31">
        <f t="shared" si="48"/>
        <v>21326.702785189667</v>
      </c>
      <c r="U386" s="31">
        <f t="shared" si="49"/>
        <v>21947.942785189669</v>
      </c>
      <c r="V386" s="80" cm="1">
        <f t="array" ref="V386">IF($L$2&lt;&gt;1,IRR(IF(ROW($P$36:P386)=ROW(P386),P386+K386+J386,$P$36:P386),V385/12)*12,0)</f>
        <v>9.2456708331116744E-2</v>
      </c>
      <c r="W386" s="83">
        <f>(1+V386/12)^(B386)-1</f>
        <v>13.677541804997503</v>
      </c>
    </row>
    <row r="387" spans="2:23" x14ac:dyDescent="0.25">
      <c r="B387" s="33">
        <v>351</v>
      </c>
      <c r="C387" s="105">
        <f t="shared" si="47"/>
        <v>3.9789301544717048E-3</v>
      </c>
      <c r="D387" s="106">
        <f t="shared" si="50"/>
        <v>0.24812234279394599</v>
      </c>
      <c r="E387" s="60">
        <f>rate</f>
        <v>3.5145930840192463E-3</v>
      </c>
      <c r="F387" s="31">
        <f>IF(AND(B386&gt;=gracia,12*años+gracia-B386&gt;0,$L$2&lt;&gt;1),PMT(E386,12*años-B386+gracia,-J386),0)</f>
        <v>-21.169659704331597</v>
      </c>
      <c r="G387" s="31">
        <f>IF(AND(12*años+gracia-B386&gt;0,$L$2&lt;&gt;1),J386*E387,0)</f>
        <v>-1.1556180639238163</v>
      </c>
      <c r="H387" s="31">
        <f>IF(AND(12*años+gracia-B386&gt;0,$L$2&lt;&gt;1),F387-G387,0)</f>
        <v>-20.014041640407779</v>
      </c>
      <c r="I387" s="62"/>
      <c r="J387" s="61">
        <f>J386-H387-I387</f>
        <v>-308.79160848687962</v>
      </c>
      <c r="K387" s="61">
        <f>K386*(1+$J$17)^(1/12)</f>
        <v>25840.11350058642</v>
      </c>
      <c r="L387" s="31">
        <f t="shared" si="51"/>
        <v>16</v>
      </c>
      <c r="M387" s="31">
        <f t="shared" si="52"/>
        <v>-2.6666666666666661</v>
      </c>
      <c r="N387" s="31">
        <f t="shared" si="53"/>
        <v>-2.35</v>
      </c>
      <c r="O387" s="62"/>
      <c r="P387" s="31">
        <f>O387+N387+M387+L387+I387+F387</f>
        <v>-10.186326370998263</v>
      </c>
      <c r="Q387" s="31">
        <f>SUM($P$36:P387)</f>
        <v>-4069.6225979944297</v>
      </c>
      <c r="R387" s="83">
        <f t="shared" si="54"/>
        <v>-0.18977113861576156</v>
      </c>
      <c r="S387" s="31">
        <f>SUMPRODUCT($P$36:P387,$D$36:D387)/D387-Q387</f>
        <v>-5686.9725088078812</v>
      </c>
      <c r="T387" s="31">
        <f t="shared" si="48"/>
        <v>21461.69929410511</v>
      </c>
      <c r="U387" s="31">
        <f t="shared" si="49"/>
        <v>22082.939294105112</v>
      </c>
      <c r="V387" s="80" cm="1">
        <f t="array" ref="V387">IF($L$2&lt;&gt;1,IRR(IF(ROW($P$36:P387)=ROW(P387),P387+K387+J387,$P$36:P387),V386/12)*12,0)</f>
        <v>9.2352908324156324E-2</v>
      </c>
      <c r="W387" s="83">
        <f>(1+V387/12)^(B387)-1</f>
        <v>13.746131891946581</v>
      </c>
    </row>
    <row r="388" spans="2:23" x14ac:dyDescent="0.25">
      <c r="B388" s="33">
        <v>352</v>
      </c>
      <c r="C388" s="105">
        <f t="shared" si="47"/>
        <v>3.9789301544717048E-3</v>
      </c>
      <c r="D388" s="106">
        <f t="shared" si="50"/>
        <v>0.24713899399838002</v>
      </c>
      <c r="E388" s="60">
        <f>rate</f>
        <v>3.5145930840192463E-3</v>
      </c>
      <c r="F388" s="31">
        <f>IF(AND(B387&gt;=gracia,12*años+gracia-B387&gt;0,$L$2&lt;&gt;1),PMT(E387,12*años-B387+gracia,-J387),0)</f>
        <v>-21.169659704331597</v>
      </c>
      <c r="G388" s="31">
        <f>IF(AND(12*años+gracia-B387&gt;0,$L$2&lt;&gt;1),J387*E388,0)</f>
        <v>-1.0852768515911659</v>
      </c>
      <c r="H388" s="31">
        <f>IF(AND(12*años+gracia-B387&gt;0,$L$2&lt;&gt;1),F388-G388,0)</f>
        <v>-20.084382852740433</v>
      </c>
      <c r="I388" s="62"/>
      <c r="J388" s="61">
        <f>J387-H388-I388</f>
        <v>-288.70722563413921</v>
      </c>
      <c r="K388" s="61">
        <f>K387*(1+$J$17)^(1/12)</f>
        <v>25965.891559664728</v>
      </c>
      <c r="L388" s="31">
        <f t="shared" si="51"/>
        <v>16</v>
      </c>
      <c r="M388" s="31">
        <f t="shared" si="52"/>
        <v>-2.6666666666666661</v>
      </c>
      <c r="N388" s="31">
        <f t="shared" si="53"/>
        <v>-2.35</v>
      </c>
      <c r="O388" s="62"/>
      <c r="P388" s="31">
        <f>O388+N388+M388+L388+I388+F388</f>
        <v>-10.186326370998263</v>
      </c>
      <c r="Q388" s="31">
        <f>SUM($P$36:P388)</f>
        <v>-4079.8089243654281</v>
      </c>
      <c r="R388" s="83">
        <f t="shared" si="54"/>
        <v>-0.18979099669239752</v>
      </c>
      <c r="S388" s="31">
        <f>SUMPRODUCT($P$36:P388,$D$36:D388)/D388-Q388</f>
        <v>-5725.7933192833098</v>
      </c>
      <c r="T388" s="31">
        <f t="shared" si="48"/>
        <v>21597.375409665161</v>
      </c>
      <c r="U388" s="31">
        <f t="shared" si="49"/>
        <v>22218.615409665163</v>
      </c>
      <c r="V388" s="80" cm="1">
        <f t="array" ref="V388">IF($L$2&lt;&gt;1,IRR(IF(ROW($P$36:P388)=ROW(P388),P388+K388+J388,$P$36:P388),V387/12)*12,0)</f>
        <v>9.2249635654884088E-2</v>
      </c>
      <c r="W388" s="83">
        <f>(1+V388/12)^(B388)-1</f>
        <v>13.815015202742634</v>
      </c>
    </row>
    <row r="389" spans="2:23" x14ac:dyDescent="0.25">
      <c r="B389" s="33">
        <v>353</v>
      </c>
      <c r="C389" s="105">
        <f t="shared" si="47"/>
        <v>3.9789301544717048E-3</v>
      </c>
      <c r="D389" s="106">
        <f t="shared" si="50"/>
        <v>0.24615954237242343</v>
      </c>
      <c r="E389" s="60">
        <f>rate</f>
        <v>3.5145930840192463E-3</v>
      </c>
      <c r="F389" s="31">
        <f>IF(AND(B388&gt;=gracia,12*años+gracia-B388&gt;0,$L$2&lt;&gt;1),PMT(E388,12*años-B388+gracia,-J388),0)</f>
        <v>-21.169659704331597</v>
      </c>
      <c r="G389" s="31">
        <f>IF(AND(12*años+gracia-B388&gt;0,$L$2&lt;&gt;1),J388*E389,0)</f>
        <v>-1.0146884185201297</v>
      </c>
      <c r="H389" s="31">
        <f>IF(AND(12*años+gracia-B388&gt;0,$L$2&lt;&gt;1),F389-G389,0)</f>
        <v>-20.154971285811467</v>
      </c>
      <c r="I389" s="62"/>
      <c r="J389" s="61">
        <f>J388-H389-I389</f>
        <v>-268.55225434832772</v>
      </c>
      <c r="K389" s="61">
        <f>K388*(1+$J$17)^(1/12)</f>
        <v>26092.281849805611</v>
      </c>
      <c r="L389" s="31">
        <f t="shared" si="51"/>
        <v>16</v>
      </c>
      <c r="M389" s="31">
        <f t="shared" si="52"/>
        <v>-2.6666666666666661</v>
      </c>
      <c r="N389" s="31">
        <f t="shared" si="53"/>
        <v>-2.35</v>
      </c>
      <c r="O389" s="62"/>
      <c r="P389" s="31">
        <f>O389+N389+M389+L389+I389+F389</f>
        <v>-10.186326370998263</v>
      </c>
      <c r="Q389" s="31">
        <f>SUM($P$36:P389)</f>
        <v>-4089.9952507364264</v>
      </c>
      <c r="R389" s="83">
        <f t="shared" si="54"/>
        <v>-0.18981074225868427</v>
      </c>
      <c r="S389" s="31">
        <f>SUMPRODUCT($P$36:P389,$D$36:D389)/D389-Q389</f>
        <v>-5764.8091257333181</v>
      </c>
      <c r="T389" s="31">
        <f t="shared" si="48"/>
        <v>21733.734344720855</v>
      </c>
      <c r="U389" s="31">
        <f t="shared" si="49"/>
        <v>22354.974344720857</v>
      </c>
      <c r="V389" s="80" cm="1">
        <f t="array" ref="V389">IF($L$2&lt;&gt;1,IRR(IF(ROW($P$36:P389)=ROW(P389),P389+K389+J389,$P$36:P389),V388/12)*12,0)</f>
        <v>9.2146886518290394E-2</v>
      </c>
      <c r="W389" s="83">
        <f>(1+V389/12)^(B389)-1</f>
        <v>13.884193149146055</v>
      </c>
    </row>
    <row r="390" spans="2:23" x14ac:dyDescent="0.25">
      <c r="B390" s="33">
        <v>354</v>
      </c>
      <c r="C390" s="105">
        <f t="shared" si="47"/>
        <v>3.9789301544717048E-3</v>
      </c>
      <c r="D390" s="106">
        <f t="shared" si="50"/>
        <v>0.24518397247096554</v>
      </c>
      <c r="E390" s="60">
        <f>rate</f>
        <v>3.5145930840192463E-3</v>
      </c>
      <c r="F390" s="31">
        <f>IF(AND(B389&gt;=gracia,12*años+gracia-B389&gt;0,$L$2&lt;&gt;1),PMT(E389,12*años-B389+gracia,-J389),0)</f>
        <v>-21.169659704331597</v>
      </c>
      <c r="G390" s="31">
        <f>IF(AND(12*años+gracia-B389&gt;0,$L$2&lt;&gt;1),J389*E390,0)</f>
        <v>-0.94385189583041018</v>
      </c>
      <c r="H390" s="31">
        <f>IF(AND(12*años+gracia-B389&gt;0,$L$2&lt;&gt;1),F390-G390,0)</f>
        <v>-20.225807808501187</v>
      </c>
      <c r="I390" s="62"/>
      <c r="J390" s="61">
        <f>J389-H390-I390</f>
        <v>-248.32644653982652</v>
      </c>
      <c r="K390" s="61">
        <f>K389*(1+$J$17)^(1/12)</f>
        <v>26219.287351074723</v>
      </c>
      <c r="L390" s="31">
        <f t="shared" si="51"/>
        <v>16</v>
      </c>
      <c r="M390" s="31">
        <f t="shared" si="52"/>
        <v>-2.6666666666666661</v>
      </c>
      <c r="N390" s="31">
        <f t="shared" si="53"/>
        <v>-2.35</v>
      </c>
      <c r="O390" s="62"/>
      <c r="P390" s="31">
        <f>O390+N390+M390+L390+I390+F390</f>
        <v>-10.186326370998263</v>
      </c>
      <c r="Q390" s="31">
        <f>SUM($P$36:P390)</f>
        <v>-4100.1815771074243</v>
      </c>
      <c r="R390" s="83">
        <f t="shared" si="54"/>
        <v>-0.18983037626809937</v>
      </c>
      <c r="S390" s="31">
        <f>SUMPRODUCT($P$36:P390,$D$36:D390)/D390-Q390</f>
        <v>-5804.0207040332743</v>
      </c>
      <c r="T390" s="31">
        <f t="shared" si="48"/>
        <v>21870.779327427474</v>
      </c>
      <c r="U390" s="31">
        <f t="shared" si="49"/>
        <v>22492.019327427475</v>
      </c>
      <c r="V390" s="80" cm="1">
        <f t="array" ref="V390">IF($L$2&lt;&gt;1,IRR(IF(ROW($P$36:P390)=ROW(P390),P390+K390+J390,$P$36:P390),V389/12)*12,0)</f>
        <v>9.2044657145539333E-2</v>
      </c>
      <c r="W390" s="83">
        <f>(1+V390/12)^(B390)-1</f>
        <v>13.953667149026584</v>
      </c>
    </row>
    <row r="391" spans="2:23" x14ac:dyDescent="0.25">
      <c r="B391" s="33">
        <v>355</v>
      </c>
      <c r="C391" s="105">
        <f t="shared" si="47"/>
        <v>3.9789301544717048E-3</v>
      </c>
      <c r="D391" s="106">
        <f t="shared" si="50"/>
        <v>0.24421226891010717</v>
      </c>
      <c r="E391" s="60">
        <f>rate</f>
        <v>3.5145930840192463E-3</v>
      </c>
      <c r="F391" s="31">
        <f>IF(AND(B390&gt;=gracia,12*años+gracia-B390&gt;0,$L$2&lt;&gt;1),PMT(E390,12*años-B390+gracia,-J390),0)</f>
        <v>-21.169659704331597</v>
      </c>
      <c r="G391" s="31">
        <f>IF(AND(12*años+gracia-B390&gt;0,$L$2&lt;&gt;1),J390*E391,0)</f>
        <v>-0.87276641158794943</v>
      </c>
      <c r="H391" s="31">
        <f>IF(AND(12*años+gracia-B390&gt;0,$L$2&lt;&gt;1),F391-G391,0)</f>
        <v>-20.296893292743647</v>
      </c>
      <c r="I391" s="62"/>
      <c r="J391" s="61">
        <f>J390-H391-I391</f>
        <v>-228.02955324708287</v>
      </c>
      <c r="K391" s="61">
        <f>K390*(1+$J$17)^(1/12)</f>
        <v>26346.911058043337</v>
      </c>
      <c r="L391" s="31">
        <f t="shared" si="51"/>
        <v>16</v>
      </c>
      <c r="M391" s="31">
        <f t="shared" si="52"/>
        <v>-2.6666666666666661</v>
      </c>
      <c r="N391" s="31">
        <f t="shared" si="53"/>
        <v>-2.35</v>
      </c>
      <c r="O391" s="62"/>
      <c r="P391" s="31">
        <f>O391+N391+M391+L391+I391+F391</f>
        <v>-10.186326370998263</v>
      </c>
      <c r="Q391" s="31">
        <f>SUM($P$36:P391)</f>
        <v>-4110.3679034784227</v>
      </c>
      <c r="R391" s="83">
        <f t="shared" si="54"/>
        <v>-0.18984989966337693</v>
      </c>
      <c r="S391" s="31">
        <f>SUMPRODUCT($P$36:P391,$D$36:D391)/D391-Q391</f>
        <v>-5843.4288331456928</v>
      </c>
      <c r="T391" s="31">
        <f t="shared" si="48"/>
        <v>22008.513601317831</v>
      </c>
      <c r="U391" s="31">
        <f t="shared" si="49"/>
        <v>22629.753601317832</v>
      </c>
      <c r="V391" s="80" cm="1">
        <f t="array" ref="V391">IF($L$2&lt;&gt;1,IRR(IF(ROW($P$36:P391)=ROW(P391),P391+K391+J391,$P$36:P391),V390/12)*12,0)</f>
        <v>9.1942943803534405E-2</v>
      </c>
      <c r="W391" s="83">
        <f>(1+V391/12)^(B391)-1</f>
        <v>14.023438626391192</v>
      </c>
    </row>
    <row r="392" spans="2:23" x14ac:dyDescent="0.25">
      <c r="B392" s="33">
        <v>356</v>
      </c>
      <c r="C392" s="105">
        <f t="shared" si="47"/>
        <v>3.9789301544717048E-3</v>
      </c>
      <c r="D392" s="106">
        <f t="shared" si="50"/>
        <v>0.24324441636691796</v>
      </c>
      <c r="E392" s="60">
        <f>rate</f>
        <v>3.5145930840192463E-3</v>
      </c>
      <c r="F392" s="31">
        <f>IF(AND(B391&gt;=gracia,12*años+gracia-B391&gt;0,$L$2&lt;&gt;1),PMT(E391,12*años-B391+gracia,-J391),0)</f>
        <v>-21.169659704331597</v>
      </c>
      <c r="G392" s="31">
        <f>IF(AND(12*años+gracia-B391&gt;0,$L$2&lt;&gt;1),J391*E392,0)</f>
        <v>-0.80143109079419594</v>
      </c>
      <c r="H392" s="31">
        <f>IF(AND(12*años+gracia-B391&gt;0,$L$2&lt;&gt;1),F392-G392,0)</f>
        <v>-20.368228613537401</v>
      </c>
      <c r="I392" s="62"/>
      <c r="J392" s="61">
        <f>J391-H392-I392</f>
        <v>-207.66132463354546</v>
      </c>
      <c r="K392" s="61">
        <f>K391*(1+$J$17)^(1/12)</f>
        <v>26475.155979858959</v>
      </c>
      <c r="L392" s="31">
        <f t="shared" si="51"/>
        <v>16</v>
      </c>
      <c r="M392" s="31">
        <f t="shared" si="52"/>
        <v>-2.6666666666666661</v>
      </c>
      <c r="N392" s="31">
        <f t="shared" si="53"/>
        <v>-2.35</v>
      </c>
      <c r="O392" s="62"/>
      <c r="P392" s="31">
        <f>O392+N392+M392+L392+I392+F392</f>
        <v>-10.186326370998263</v>
      </c>
      <c r="Q392" s="31">
        <f>SUM($P$36:P392)</f>
        <v>-4120.5542298494211</v>
      </c>
      <c r="R392" s="83">
        <f t="shared" si="54"/>
        <v>-0.18986931337665849</v>
      </c>
      <c r="S392" s="31">
        <f>SUMPRODUCT($P$36:P392,$D$36:D392)/D392-Q392</f>
        <v>-5883.0342951325301</v>
      </c>
      <c r="T392" s="31">
        <f t="shared" si="48"/>
        <v>22146.940425375993</v>
      </c>
      <c r="U392" s="31">
        <f t="shared" si="49"/>
        <v>22768.180425375995</v>
      </c>
      <c r="V392" s="80" cm="1">
        <f t="array" ref="V392">IF($L$2&lt;&gt;1,IRR(IF(ROW($P$36:P392)=ROW(P392),P392+K392+J392,$P$36:P392),V391/12)*12,0)</f>
        <v>9.1841742794508185E-2</v>
      </c>
      <c r="W392" s="83">
        <f>(1+V392/12)^(B392)-1</f>
        <v>14.093509011426704</v>
      </c>
    </row>
    <row r="393" spans="2:23" x14ac:dyDescent="0.25">
      <c r="B393" s="33">
        <v>357</v>
      </c>
      <c r="C393" s="105">
        <f t="shared" si="47"/>
        <v>3.9789301544717048E-3</v>
      </c>
      <c r="D393" s="106">
        <f t="shared" si="50"/>
        <v>0.24228039957919484</v>
      </c>
      <c r="E393" s="60">
        <f>rate</f>
        <v>3.5145930840192463E-3</v>
      </c>
      <c r="F393" s="31">
        <f>IF(AND(B392&gt;=gracia,12*años+gracia-B392&gt;0,$L$2&lt;&gt;1),PMT(E392,12*años-B392+gracia,-J392),0)</f>
        <v>-21.169659704331597</v>
      </c>
      <c r="G393" s="31">
        <f>IF(AND(12*años+gracia-B392&gt;0,$L$2&lt;&gt;1),J392*E393,0)</f>
        <v>-0.7298450553753344</v>
      </c>
      <c r="H393" s="31">
        <f>IF(AND(12*años+gracia-B392&gt;0,$L$2&lt;&gt;1),F393-G393,0)</f>
        <v>-20.439814648956261</v>
      </c>
      <c r="I393" s="62"/>
      <c r="J393" s="61">
        <f>J392-H393-I393</f>
        <v>-187.2215099845892</v>
      </c>
      <c r="K393" s="61">
        <f>K392*(1+$J$17)^(1/12)</f>
        <v>26604.025140316266</v>
      </c>
      <c r="L393" s="31">
        <f t="shared" si="51"/>
        <v>16</v>
      </c>
      <c r="M393" s="31">
        <f t="shared" si="52"/>
        <v>-2.6666666666666661</v>
      </c>
      <c r="N393" s="31">
        <f t="shared" si="53"/>
        <v>-2.35</v>
      </c>
      <c r="O393" s="62"/>
      <c r="P393" s="31">
        <f>O393+N393+M393+L393+I393+F393</f>
        <v>-10.186326370998263</v>
      </c>
      <c r="Q393" s="31">
        <f>SUM($P$36:P393)</f>
        <v>-4130.7405562204194</v>
      </c>
      <c r="R393" s="83">
        <f t="shared" si="54"/>
        <v>-0.18988861832964157</v>
      </c>
      <c r="S393" s="31">
        <f>SUMPRODUCT($P$36:P393,$D$36:D393)/D393-Q393</f>
        <v>-5922.8378751675091</v>
      </c>
      <c r="T393" s="31">
        <f t="shared" si="48"/>
        <v>22286.063074111258</v>
      </c>
      <c r="U393" s="31">
        <f t="shared" si="49"/>
        <v>22907.30307411126</v>
      </c>
      <c r="V393" s="80" cm="1">
        <f t="array" ref="V393">IF($L$2&lt;&gt;1,IRR(IF(ROW($P$36:P393)=ROW(P393),P393+K393+J393,$P$36:P393),V392/12)*12,0)</f>
        <v>9.174105045560399E-2</v>
      </c>
      <c r="W393" s="83">
        <f>(1+V393/12)^(B393)-1</f>
        <v>14.163879740531701</v>
      </c>
    </row>
    <row r="394" spans="2:23" x14ac:dyDescent="0.25">
      <c r="B394" s="33">
        <v>358</v>
      </c>
      <c r="C394" s="105">
        <f t="shared" si="47"/>
        <v>3.9789301544717048E-3</v>
      </c>
      <c r="D394" s="106">
        <f t="shared" si="50"/>
        <v>0.24132020334522131</v>
      </c>
      <c r="E394" s="60">
        <f>rate</f>
        <v>3.5145930840192463E-3</v>
      </c>
      <c r="F394" s="31">
        <f>IF(AND(B393&gt;=gracia,12*años+gracia-B393&gt;0,$L$2&lt;&gt;1),PMT(E393,12*años-B393+gracia,-J393),0)</f>
        <v>-21.169659704331597</v>
      </c>
      <c r="G394" s="31">
        <f>IF(AND(12*años+gracia-B393&gt;0,$L$2&lt;&gt;1),J393*E394,0)</f>
        <v>-0.65800742417147751</v>
      </c>
      <c r="H394" s="31">
        <f>IF(AND(12*años+gracia-B393&gt;0,$L$2&lt;&gt;1),F394-G394,0)</f>
        <v>-20.511652280160121</v>
      </c>
      <c r="I394" s="62"/>
      <c r="J394" s="61">
        <f>J393-H394-I394</f>
        <v>-166.70985770442908</v>
      </c>
      <c r="K394" s="61">
        <f>K393*(1+$J$17)^(1/12)</f>
        <v>26733.521577928412</v>
      </c>
      <c r="L394" s="31">
        <f t="shared" si="51"/>
        <v>16</v>
      </c>
      <c r="M394" s="31">
        <f t="shared" si="52"/>
        <v>-2.6666666666666661</v>
      </c>
      <c r="N394" s="31">
        <f t="shared" si="53"/>
        <v>-2.35</v>
      </c>
      <c r="O394" s="62"/>
      <c r="P394" s="31">
        <f>O394+N394+M394+L394+I394+F394</f>
        <v>-10.186326370998263</v>
      </c>
      <c r="Q394" s="31">
        <f>SUM($P$36:P394)</f>
        <v>-4140.9268825914178</v>
      </c>
      <c r="R394" s="83">
        <f t="shared" si="54"/>
        <v>-0.18990781543372534</v>
      </c>
      <c r="S394" s="31">
        <f>SUMPRODUCT($P$36:P394,$D$36:D394)/D394-Q394</f>
        <v>-5962.8403615485031</v>
      </c>
      <c r="T394" s="31">
        <f t="shared" si="48"/>
        <v>22425.884837632566</v>
      </c>
      <c r="U394" s="31">
        <f t="shared" si="49"/>
        <v>23047.124837632568</v>
      </c>
      <c r="V394" s="80" cm="1">
        <f t="array" ref="V394">IF($L$2&lt;&gt;1,IRR(IF(ROW($P$36:P394)=ROW(P394),P394+K394+J394,$P$36:P394),V393/12)*12,0)</f>
        <v>9.1640863158449548E-2</v>
      </c>
      <c r="W394" s="83">
        <f>(1+V394/12)^(B394)-1</f>
        <v>14.2345522563394</v>
      </c>
    </row>
    <row r="395" spans="2:23" x14ac:dyDescent="0.25">
      <c r="B395" s="33">
        <v>359</v>
      </c>
      <c r="C395" s="105">
        <f t="shared" si="47"/>
        <v>3.9789301544717048E-3</v>
      </c>
      <c r="D395" s="106">
        <f t="shared" si="50"/>
        <v>0.24036381252352765</v>
      </c>
      <c r="E395" s="60">
        <f>rate</f>
        <v>3.5145930840192463E-3</v>
      </c>
      <c r="F395" s="31">
        <f>IF(AND(B394&gt;=gracia,12*años+gracia-B394&gt;0,$L$2&lt;&gt;1),PMT(E394,12*años-B394+gracia,-J394),0)</f>
        <v>-21.169659704331597</v>
      </c>
      <c r="G395" s="31">
        <f>IF(AND(12*años+gracia-B394&gt;0,$L$2&lt;&gt;1),J394*E395,0)</f>
        <v>-0.58591731292581917</v>
      </c>
      <c r="H395" s="31">
        <f>IF(AND(12*años+gracia-B394&gt;0,$L$2&lt;&gt;1),F395-G395,0)</f>
        <v>-20.583742391405778</v>
      </c>
      <c r="I395" s="62"/>
      <c r="J395" s="61">
        <f>J394-H395-I395</f>
        <v>-146.12611531302332</v>
      </c>
      <c r="K395" s="61">
        <f>K394*(1+$J$17)^(1/12)</f>
        <v>26863.648345998667</v>
      </c>
      <c r="L395" s="31">
        <f t="shared" si="51"/>
        <v>16</v>
      </c>
      <c r="M395" s="31">
        <f t="shared" si="52"/>
        <v>-2.6666666666666661</v>
      </c>
      <c r="N395" s="31">
        <f t="shared" si="53"/>
        <v>-2.35</v>
      </c>
      <c r="O395" s="62"/>
      <c r="P395" s="31">
        <f>O395+N395+M395+L395+I395+F395</f>
        <v>-10.186326370998263</v>
      </c>
      <c r="Q395" s="31">
        <f>SUM($P$36:P395)</f>
        <v>-4151.1132089624161</v>
      </c>
      <c r="R395" s="83">
        <f t="shared" si="54"/>
        <v>-0.18992690559015404</v>
      </c>
      <c r="S395" s="31">
        <f>SUMPRODUCT($P$36:P395,$D$36:D395)/D395-Q395</f>
        <v>-6003.0425457099745</v>
      </c>
      <c r="T395" s="31">
        <f t="shared" si="48"/>
        <v>22566.409021723226</v>
      </c>
      <c r="U395" s="31">
        <f t="shared" si="49"/>
        <v>23187.649021723228</v>
      </c>
      <c r="V395" s="80" cm="1">
        <f t="array" ref="V395">IF($L$2&lt;&gt;1,IRR(IF(ROW($P$36:P395)=ROW(P395),P395+K395+J395,$P$36:P395),V394/12)*12,0)</f>
        <v>9.1541177308778643E-2</v>
      </c>
      <c r="W395" s="83">
        <f>(1+V395/12)^(B395)-1</f>
        <v>14.305528007768586</v>
      </c>
    </row>
    <row r="396" spans="2:23" x14ac:dyDescent="0.25">
      <c r="B396" s="33">
        <v>360</v>
      </c>
      <c r="C396" s="105">
        <f t="shared" si="47"/>
        <v>3.9789301544717048E-3</v>
      </c>
      <c r="D396" s="106">
        <f t="shared" si="50"/>
        <v>0.23941121203265231</v>
      </c>
      <c r="E396" s="60">
        <f>rate</f>
        <v>3.5145930840192463E-3</v>
      </c>
      <c r="F396" s="31">
        <f>IF(AND(B395&gt;=gracia,12*años+gracia-B395&gt;0,$L$2&lt;&gt;1),PMT(E395,12*años-B395+gracia,-J395),0)</f>
        <v>-21.169659704331597</v>
      </c>
      <c r="G396" s="31">
        <f>IF(AND(12*años+gracia-B395&gt;0,$L$2&lt;&gt;1),J395*E396,0)</f>
        <v>-0.5135738342737507</v>
      </c>
      <c r="H396" s="31">
        <f>IF(AND(12*años+gracia-B395&gt;0,$L$2&lt;&gt;1),F396-G396,0)</f>
        <v>-20.656085870057847</v>
      </c>
      <c r="I396" s="62"/>
      <c r="J396" s="61">
        <f>J395-H396-I396</f>
        <v>-125.47002944296547</v>
      </c>
      <c r="K396" s="61">
        <f>K395*(1+$J$17)^(1/12)</f>
        <v>26994.408512692411</v>
      </c>
      <c r="L396" s="31">
        <f t="shared" si="51"/>
        <v>16</v>
      </c>
      <c r="M396" s="31">
        <f t="shared" si="52"/>
        <v>-2.6666666666666661</v>
      </c>
      <c r="N396" s="31">
        <f t="shared" si="53"/>
        <v>-2.35</v>
      </c>
      <c r="O396" s="62"/>
      <c r="P396" s="31">
        <f>O396+N396+M396+L396+I396+F396</f>
        <v>-10.186326370998263</v>
      </c>
      <c r="Q396" s="31">
        <f>SUM($P$36:P396)</f>
        <v>-4161.2995353334145</v>
      </c>
      <c r="R396" s="83">
        <f t="shared" si="54"/>
        <v>-0.1899458896901581</v>
      </c>
      <c r="S396" s="31">
        <f>SUMPRODUCT($P$36:P396,$D$36:D396)/D396-Q396</f>
        <v>-6043.4452222354439</v>
      </c>
      <c r="T396" s="31">
        <f t="shared" si="48"/>
        <v>22707.638947916032</v>
      </c>
      <c r="U396" s="31">
        <f t="shared" si="49"/>
        <v>23328.878947916033</v>
      </c>
      <c r="V396" s="80" cm="1">
        <f t="array" ref="V396">IF($L$2&lt;&gt;1,IRR(IF(ROW($P$36:P396)=ROW(P396),P396+K396+J396,$P$36:P396),V395/12)*12,0)</f>
        <v>9.1441989346012775E-2</v>
      </c>
      <c r="W396" s="83">
        <f>(1+V396/12)^(B396)-1</f>
        <v>14.376808450046457</v>
      </c>
    </row>
    <row r="397" spans="2:23" x14ac:dyDescent="0.25">
      <c r="B397" s="33">
        <v>361</v>
      </c>
      <c r="C397" s="105">
        <f t="shared" si="47"/>
        <v>3.9789301544717048E-3</v>
      </c>
      <c r="D397" s="106">
        <f t="shared" si="50"/>
        <v>0.23846238685090396</v>
      </c>
      <c r="E397" s="60">
        <f>rate</f>
        <v>3.5145930840192463E-3</v>
      </c>
      <c r="F397" s="31">
        <f>IF(AND(B396&gt;=gracia,12*años+gracia-B396&gt;0,$L$2&lt;&gt;1),PMT(E396,12*años-B396+gracia,-J396),0)</f>
        <v>-21.169659704331597</v>
      </c>
      <c r="G397" s="31">
        <f>IF(AND(12*años+gracia-B396&gt;0,$L$2&lt;&gt;1),J396*E397,0)</f>
        <v>-0.44097609773193763</v>
      </c>
      <c r="H397" s="31">
        <f>IF(AND(12*años+gracia-B396&gt;0,$L$2&lt;&gt;1),F397-G397,0)</f>
        <v>-20.72868360659966</v>
      </c>
      <c r="I397" s="62"/>
      <c r="J397" s="61">
        <f>J396-H397-I397</f>
        <v>-104.74134583636581</v>
      </c>
      <c r="K397" s="61">
        <f>K396*(1+$J$17)^(1/12)</f>
        <v>27125.805161109467</v>
      </c>
      <c r="L397" s="31">
        <f t="shared" si="51"/>
        <v>16</v>
      </c>
      <c r="M397" s="31">
        <f t="shared" si="52"/>
        <v>-2.6666666666666661</v>
      </c>
      <c r="N397" s="31">
        <f t="shared" si="53"/>
        <v>-2.35</v>
      </c>
      <c r="O397" s="62"/>
      <c r="P397" s="31">
        <f>O397+N397+M397+L397+I397+F397</f>
        <v>-10.186326370998263</v>
      </c>
      <c r="Q397" s="31">
        <f>SUM($P$36:P397)</f>
        <v>-4171.4858617044129</v>
      </c>
      <c r="R397" s="83">
        <f t="shared" si="54"/>
        <v>-0.1899647686150929</v>
      </c>
      <c r="S397" s="31">
        <f>SUMPRODUCT($P$36:P397,$D$36:D397)/D397-Q397</f>
        <v>-6084.0491888700208</v>
      </c>
      <c r="T397" s="31">
        <f t="shared" si="48"/>
        <v>22849.577953568689</v>
      </c>
      <c r="U397" s="31">
        <f t="shared" si="49"/>
        <v>23470.81795356869</v>
      </c>
      <c r="V397" s="80" cm="1">
        <f t="array" ref="V397">IF($L$2&lt;&gt;1,IRR(IF(ROW($P$36:P397)=ROW(P397),P397+K397+J397,$P$36:P397),V396/12)*12,0)</f>
        <v>9.1343295742872144E-2</v>
      </c>
      <c r="W397" s="83">
        <f>(1+V397/12)^(B397)-1</f>
        <v>14.448395044744165</v>
      </c>
    </row>
    <row r="398" spans="2:23" x14ac:dyDescent="0.25">
      <c r="B398" s="33">
        <v>362</v>
      </c>
      <c r="C398" s="105">
        <f t="shared" si="47"/>
        <v>3.9789301544717048E-3</v>
      </c>
      <c r="D398" s="106">
        <f t="shared" si="50"/>
        <v>0.23751732201612463</v>
      </c>
      <c r="E398" s="60">
        <f>rate</f>
        <v>3.5145930840192463E-3</v>
      </c>
      <c r="F398" s="31">
        <f>IF(AND(B397&gt;=gracia,12*años+gracia-B397&gt;0,$L$2&lt;&gt;1),PMT(E397,12*años-B397+gracia,-J397),0)</f>
        <v>-21.169659704331597</v>
      </c>
      <c r="G398" s="31">
        <f>IF(AND(12*años+gracia-B397&gt;0,$L$2&lt;&gt;1),J397*E398,0)</f>
        <v>-0.36812320968735934</v>
      </c>
      <c r="H398" s="31">
        <f>IF(AND(12*años+gracia-B397&gt;0,$L$2&lt;&gt;1),F398-G398,0)</f>
        <v>-20.801536494644239</v>
      </c>
      <c r="I398" s="62"/>
      <c r="J398" s="61">
        <f>J397-H398-I398</f>
        <v>-83.93980934172157</v>
      </c>
      <c r="K398" s="61">
        <f>K397*(1+$J$17)^(1/12)</f>
        <v>27257.84138935681</v>
      </c>
      <c r="L398" s="31">
        <f t="shared" si="51"/>
        <v>16</v>
      </c>
      <c r="M398" s="31">
        <f t="shared" si="52"/>
        <v>-2.6666666666666661</v>
      </c>
      <c r="N398" s="31">
        <f t="shared" si="53"/>
        <v>-2.35</v>
      </c>
      <c r="O398" s="62"/>
      <c r="P398" s="31">
        <f>O398+N398+M398+L398+I398+F398</f>
        <v>-10.186326370998263</v>
      </c>
      <c r="Q398" s="31">
        <f>SUM($P$36:P398)</f>
        <v>-4181.6721880754112</v>
      </c>
      <c r="R398" s="83">
        <f t="shared" si="54"/>
        <v>-0.18998354323657504</v>
      </c>
      <c r="S398" s="31">
        <f>SUMPRODUCT($P$36:P398,$D$36:D398)/D398-Q398</f>
        <v>-6124.8552465329931</v>
      </c>
      <c r="T398" s="31">
        <f t="shared" si="48"/>
        <v>22992.229391939676</v>
      </c>
      <c r="U398" s="31">
        <f t="shared" si="49"/>
        <v>23613.469391939678</v>
      </c>
      <c r="V398" s="80" cm="1">
        <f t="array" ref="V398">IF($L$2&lt;&gt;1,IRR(IF(ROW($P$36:P398)=ROW(P398),P398+K398+J398,$P$36:P398),V397/12)*12,0)</f>
        <v>9.124509300499728E-2</v>
      </c>
      <c r="W398" s="83">
        <f>(1+V398/12)^(B398)-1</f>
        <v>14.520289259815964</v>
      </c>
    </row>
    <row r="399" spans="2:23" x14ac:dyDescent="0.25">
      <c r="B399" s="33">
        <v>363</v>
      </c>
      <c r="C399" s="105">
        <f t="shared" si="47"/>
        <v>3.9789301544717048E-3</v>
      </c>
      <c r="D399" s="106">
        <f t="shared" si="50"/>
        <v>0.23657600262545384</v>
      </c>
      <c r="E399" s="60">
        <f>rate</f>
        <v>3.5145930840192463E-3</v>
      </c>
      <c r="F399" s="31">
        <f>IF(AND(B398&gt;=gracia,12*años+gracia-B398&gt;0,$L$2&lt;&gt;1),PMT(E398,12*años-B398+gracia,-J398),0)</f>
        <v>-21.169659704331597</v>
      </c>
      <c r="G399" s="31">
        <f>IF(AND(12*años+gracia-B398&gt;0,$L$2&lt;&gt;1),J398*E399,0)</f>
        <v>-0.29501427338630876</v>
      </c>
      <c r="H399" s="31">
        <f>IF(AND(12*años+gracia-B398&gt;0,$L$2&lt;&gt;1),F399-G399,0)</f>
        <v>-20.874645430945289</v>
      </c>
      <c r="I399" s="62"/>
      <c r="J399" s="61">
        <f>J398-H399-I399</f>
        <v>-63.065163910776278</v>
      </c>
      <c r="K399" s="61">
        <f>K398*(1+$J$17)^(1/12)</f>
        <v>27390.520310621607</v>
      </c>
      <c r="L399" s="31">
        <f t="shared" si="51"/>
        <v>16</v>
      </c>
      <c r="M399" s="31">
        <f t="shared" si="52"/>
        <v>-2.6666666666666661</v>
      </c>
      <c r="N399" s="31">
        <f t="shared" si="53"/>
        <v>-2.35</v>
      </c>
      <c r="O399" s="62"/>
      <c r="P399" s="31">
        <f>O399+N399+M399+L399+I399+F399</f>
        <v>-10.186326370998263</v>
      </c>
      <c r="Q399" s="31">
        <f>SUM($P$36:P399)</f>
        <v>-4191.8585144464096</v>
      </c>
      <c r="R399" s="83">
        <f t="shared" si="54"/>
        <v>-0.19000221441661649</v>
      </c>
      <c r="S399" s="31">
        <f>SUMPRODUCT($P$36:P399,$D$36:D399)/D399-Q399</f>
        <v>-6165.8641993304473</v>
      </c>
      <c r="T399" s="31">
        <f t="shared" si="48"/>
        <v>23135.59663226442</v>
      </c>
      <c r="U399" s="31">
        <f t="shared" si="49"/>
        <v>23756.836632264421</v>
      </c>
      <c r="V399" s="80" cm="1">
        <f t="array" ref="V399">IF($L$2&lt;&gt;1,IRR(IF(ROW($P$36:P399)=ROW(P399),P399+K399+J399,$P$36:P399),V398/12)*12,0)</f>
        <v>9.1147377670557361E-2</v>
      </c>
      <c r="W399" s="83">
        <f>(1+V399/12)^(B399)-1</f>
        <v>14.592492569631283</v>
      </c>
    </row>
    <row r="400" spans="2:23" x14ac:dyDescent="0.25">
      <c r="B400" s="33">
        <v>364</v>
      </c>
      <c r="C400" s="105">
        <f t="shared" si="47"/>
        <v>3.9789301544717048E-3</v>
      </c>
      <c r="D400" s="106">
        <f t="shared" si="50"/>
        <v>0.23563841383509349</v>
      </c>
      <c r="E400" s="60">
        <f>rate</f>
        <v>3.5145930840192463E-3</v>
      </c>
      <c r="F400" s="31">
        <f>IF(AND(B399&gt;=gracia,12*años+gracia-B399&gt;0,$L$2&lt;&gt;1),PMT(E399,12*años-B399+gracia,-J399),0)</f>
        <v>-21.169659704331593</v>
      </c>
      <c r="G400" s="31">
        <f>IF(AND(12*años+gracia-B399&gt;0,$L$2&lt;&gt;1),J399*E400,0)</f>
        <v>-0.22164838892335448</v>
      </c>
      <c r="H400" s="31">
        <f>IF(AND(12*años+gracia-B399&gt;0,$L$2&lt;&gt;1),F400-G400,0)</f>
        <v>-20.948011315408237</v>
      </c>
      <c r="I400" s="62"/>
      <c r="J400" s="61">
        <f>J399-H400-I400</f>
        <v>-42.11715259536804</v>
      </c>
      <c r="K400" s="61">
        <f>K399*(1+$J$17)^(1/12)</f>
        <v>27523.845053244615</v>
      </c>
      <c r="L400" s="31">
        <f t="shared" si="51"/>
        <v>16</v>
      </c>
      <c r="M400" s="31">
        <f t="shared" si="52"/>
        <v>-2.6666666666666661</v>
      </c>
      <c r="N400" s="31">
        <f t="shared" si="53"/>
        <v>-2.35</v>
      </c>
      <c r="O400" s="62"/>
      <c r="P400" s="31">
        <f>O400+N400+M400+L400+I400+F400</f>
        <v>-10.186326370998259</v>
      </c>
      <c r="Q400" s="31">
        <f>SUM($P$36:P400)</f>
        <v>-4202.0448408174079</v>
      </c>
      <c r="R400" s="83">
        <f t="shared" si="54"/>
        <v>-0.19002078300775666</v>
      </c>
      <c r="S400" s="31">
        <f>SUMPRODUCT($P$36:P400,$D$36:D400)/D400-Q400</f>
        <v>-6207.0768545679502</v>
      </c>
      <c r="T400" s="31">
        <f t="shared" si="48"/>
        <v>23279.683059831841</v>
      </c>
      <c r="U400" s="31">
        <f t="shared" si="49"/>
        <v>23900.923059831843</v>
      </c>
      <c r="V400" s="80" cm="1">
        <f t="array" ref="V400">IF($L$2&lt;&gt;1,IRR(IF(ROW($P$36:P400)=ROW(P400),P400+K400+J400,$P$36:P400),V399/12)*12,0)</f>
        <v>9.1050146309874513E-2</v>
      </c>
      <c r="W400" s="83">
        <f>(1+V400/12)^(B400)-1</f>
        <v>14.665006455006235</v>
      </c>
    </row>
    <row r="401" spans="2:23" x14ac:dyDescent="0.25">
      <c r="B401" s="33">
        <v>365</v>
      </c>
      <c r="C401" s="105">
        <f t="shared" si="47"/>
        <v>3.9789301544717048E-3</v>
      </c>
      <c r="D401" s="106">
        <f t="shared" si="50"/>
        <v>0.23470454086007389</v>
      </c>
      <c r="E401" s="60">
        <f>rate</f>
        <v>3.5145930840192463E-3</v>
      </c>
      <c r="F401" s="31">
        <f>IF(AND(B400&gt;=gracia,12*años+gracia-B400&gt;0,$L$2&lt;&gt;1),PMT(E400,12*años-B400+gracia,-J400),0)</f>
        <v>-21.169659704331597</v>
      </c>
      <c r="G401" s="31">
        <f>IF(AND(12*años+gracia-B400&gt;0,$L$2&lt;&gt;1),J400*E401,0)</f>
        <v>-0.14802465323026376</v>
      </c>
      <c r="H401" s="31">
        <f>IF(AND(12*años+gracia-B400&gt;0,$L$2&lt;&gt;1),F401-G401,0)</f>
        <v>-21.021635051101335</v>
      </c>
      <c r="I401" s="62"/>
      <c r="J401" s="61">
        <f>J400-H401-I401</f>
        <v>-21.095517544266706</v>
      </c>
      <c r="K401" s="61">
        <f>K400*(1+$J$17)^(1/12)</f>
        <v>27657.818760793951</v>
      </c>
      <c r="L401" s="31">
        <f t="shared" si="51"/>
        <v>16</v>
      </c>
      <c r="M401" s="31">
        <f t="shared" si="52"/>
        <v>-2.6666666666666661</v>
      </c>
      <c r="N401" s="31">
        <f t="shared" si="53"/>
        <v>-2.35</v>
      </c>
      <c r="O401" s="62"/>
      <c r="P401" s="31">
        <f>O401+N401+M401+L401+I401+F401</f>
        <v>-10.186326370998263</v>
      </c>
      <c r="Q401" s="31">
        <f>SUM($P$36:P401)</f>
        <v>-4212.2311671884063</v>
      </c>
      <c r="R401" s="83">
        <f t="shared" si="54"/>
        <v>-0.1900392498531919</v>
      </c>
      <c r="S401" s="31">
        <f>SUMPRODUCT($P$36:P401,$D$36:D401)/D401-Q401</f>
        <v>-6248.4940227632842</v>
      </c>
      <c r="T401" s="31">
        <f t="shared" si="48"/>
        <v>23424.492076061277</v>
      </c>
      <c r="U401" s="31">
        <f t="shared" si="49"/>
        <v>24045.732076061278</v>
      </c>
      <c r="V401" s="80" cm="1">
        <f t="array" ref="V401">IF($L$2&lt;&gt;1,IRR(IF(ROW($P$36:P401)=ROW(P401),P401+K401+J401,$P$36:P401),V400/12)*12,0)</f>
        <v>9.0953395525053438E-2</v>
      </c>
      <c r="W401" s="83">
        <f>(1+V401/12)^(B401)-1</f>
        <v>14.737832403243798</v>
      </c>
    </row>
    <row r="402" spans="2:23" x14ac:dyDescent="0.25">
      <c r="B402" s="33">
        <v>366</v>
      </c>
      <c r="C402" s="105">
        <f t="shared" si="47"/>
        <v>3.9789301544717048E-3</v>
      </c>
      <c r="D402" s="106">
        <f t="shared" si="50"/>
        <v>0.23377436897402057</v>
      </c>
      <c r="E402" s="60">
        <f>rate</f>
        <v>3.5145930840192463E-3</v>
      </c>
      <c r="F402" s="31">
        <f>IF(AND(B401&gt;=gracia,12*años+gracia-B401&gt;0,$L$2&lt;&gt;1),PMT(E401,12*años-B401+gracia,-J401),0)</f>
        <v>-21.169659704331597</v>
      </c>
      <c r="G402" s="31">
        <f>IF(AND(12*años+gracia-B401&gt;0,$L$2&lt;&gt;1),J401*E402,0)</f>
        <v>-7.4142160064886442E-2</v>
      </c>
      <c r="H402" s="31">
        <f>IF(AND(12*años+gracia-B401&gt;0,$L$2&lt;&gt;1),F402-G402,0)</f>
        <v>-21.095517544266709</v>
      </c>
      <c r="I402" s="62"/>
      <c r="J402" s="61">
        <f>J401-H402-I402</f>
        <v>3.5527136788005009E-15</v>
      </c>
      <c r="K402" s="61">
        <f>K401*(1+$J$17)^(1/12)</f>
        <v>27792.444592139211</v>
      </c>
      <c r="L402" s="31">
        <f t="shared" si="51"/>
        <v>16</v>
      </c>
      <c r="M402" s="31">
        <f t="shared" si="52"/>
        <v>-2.6666666666666661</v>
      </c>
      <c r="N402" s="31">
        <f t="shared" si="53"/>
        <v>-2.35</v>
      </c>
      <c r="O402" s="62"/>
      <c r="P402" s="31">
        <f>O402+N402+M402+L402+I402+F402</f>
        <v>-10.186326370998263</v>
      </c>
      <c r="Q402" s="31">
        <f>SUM($P$36:P402)</f>
        <v>-4222.4174935594046</v>
      </c>
      <c r="R402" s="83">
        <f t="shared" si="54"/>
        <v>-0.19005761578690347</v>
      </c>
      <c r="S402" s="31">
        <f>SUMPRODUCT($P$36:P402,$D$36:D402)/D402-Q402</f>
        <v>-6290.1165176592249</v>
      </c>
      <c r="T402" s="31">
        <f t="shared" si="48"/>
        <v>23570.027098579805</v>
      </c>
      <c r="U402" s="31">
        <f t="shared" si="49"/>
        <v>24191.267098579807</v>
      </c>
      <c r="V402" s="80" cm="1">
        <f t="array" ref="V402">IF($L$2&lt;&gt;1,IRR(IF(ROW($P$36:P402)=ROW(P402),P402+K402+J402,$P$36:P402),V401/12)*12,0)</f>
        <v>9.08571219496217E-2</v>
      </c>
      <c r="W402" s="83">
        <f>(1+V402/12)^(B402)-1</f>
        <v>14.810971908166348</v>
      </c>
    </row>
    <row r="403" spans="2:23" x14ac:dyDescent="0.25">
      <c r="B403" s="33">
        <v>367</v>
      </c>
      <c r="C403" s="105">
        <f t="shared" si="47"/>
        <v>3.9789301544717048E-3</v>
      </c>
      <c r="D403" s="106">
        <f t="shared" si="50"/>
        <v>0.23284788350892199</v>
      </c>
      <c r="E403" s="60">
        <f>rate</f>
        <v>3.5145930840192463E-3</v>
      </c>
      <c r="F403" s="31">
        <f>IF(AND(B402&gt;=gracia,12*años+gracia-B402&gt;0,$L$2&lt;&gt;1),PMT(E402,12*años-B402+gracia,-J402),0)</f>
        <v>0</v>
      </c>
      <c r="G403" s="31">
        <f>IF(AND(12*años+gracia-B402&gt;0,$L$2&lt;&gt;1),J402*E403,0)</f>
        <v>0</v>
      </c>
      <c r="H403" s="31">
        <f>IF(AND(12*años+gracia-B402&gt;0,$L$2&lt;&gt;1),F403-G403,0)</f>
        <v>0</v>
      </c>
      <c r="I403" s="62"/>
      <c r="J403" s="61">
        <f>J402-H403-I403</f>
        <v>3.5527136788005009E-15</v>
      </c>
      <c r="K403" s="61">
        <f>K402*(1+$J$17)^(1/12)</f>
        <v>27927.725721525941</v>
      </c>
      <c r="L403" s="31">
        <f t="shared" si="51"/>
        <v>16</v>
      </c>
      <c r="M403" s="31">
        <f t="shared" si="52"/>
        <v>-2.6666666666666661</v>
      </c>
      <c r="N403" s="31">
        <f t="shared" si="53"/>
        <v>-2.35</v>
      </c>
      <c r="O403" s="62"/>
      <c r="P403" s="31">
        <f>O403+N403+M403+L403+I403+F403</f>
        <v>10.983333333333334</v>
      </c>
      <c r="Q403" s="31">
        <f>SUM($P$36:P403)</f>
        <v>-4211.4341602260711</v>
      </c>
      <c r="R403" s="83">
        <f t="shared" si="54"/>
        <v>-0.18896166497414268</v>
      </c>
      <c r="S403" s="31">
        <f>SUMPRODUCT($P$36:P403,$D$36:D403)/D403-Q403</f>
        <v>-6331.9451562363729</v>
      </c>
      <c r="T403" s="31">
        <f t="shared" si="48"/>
        <v>23716.291561299869</v>
      </c>
      <c r="U403" s="31">
        <f t="shared" si="49"/>
        <v>24337.531561299871</v>
      </c>
      <c r="V403" s="80" cm="1">
        <f t="array" ref="V403">IF($L$2&lt;&gt;1,IRR(IF(ROW($P$36:P403)=ROW(P403),P403+K403+J403,$P$36:P403),V402/12)*12,0)</f>
        <v>9.0761322248146037E-2</v>
      </c>
      <c r="W403" s="83">
        <f>(1+V403/12)^(B403)-1</f>
        <v>14.88442647014414</v>
      </c>
    </row>
    <row r="404" spans="2:23" x14ac:dyDescent="0.25">
      <c r="B404" s="33">
        <v>368</v>
      </c>
      <c r="C404" s="105">
        <f t="shared" si="47"/>
        <v>3.9789301544717048E-3</v>
      </c>
      <c r="D404" s="106">
        <f t="shared" si="50"/>
        <v>0.23192506985489839</v>
      </c>
      <c r="E404" s="60">
        <f>rate</f>
        <v>3.5145930840192463E-3</v>
      </c>
      <c r="F404" s="31">
        <f>IF(AND(B403&gt;=gracia,12*años+gracia-B403&gt;0,$L$2&lt;&gt;1),PMT(E403,12*años-B403+gracia,-J403),0)</f>
        <v>0</v>
      </c>
      <c r="G404" s="31">
        <f>IF(AND(12*años+gracia-B403&gt;0,$L$2&lt;&gt;1),J403*E404,0)</f>
        <v>0</v>
      </c>
      <c r="H404" s="31">
        <f>IF(AND(12*años+gracia-B403&gt;0,$L$2&lt;&gt;1),F404-G404,0)</f>
        <v>0</v>
      </c>
      <c r="I404" s="62"/>
      <c r="J404" s="61">
        <f>J403-H404-I404</f>
        <v>3.5527136788005009E-15</v>
      </c>
      <c r="K404" s="61">
        <f>K403*(1+$J$17)^(1/12)</f>
        <v>28063.665338650502</v>
      </c>
      <c r="L404" s="31">
        <f t="shared" si="51"/>
        <v>16</v>
      </c>
      <c r="M404" s="31">
        <f t="shared" si="52"/>
        <v>-2.6666666666666661</v>
      </c>
      <c r="N404" s="31">
        <f t="shared" si="53"/>
        <v>-2.35</v>
      </c>
      <c r="O404" s="62"/>
      <c r="P404" s="31">
        <f>O404+N404+M404+L404+I404+F404</f>
        <v>10.983333333333334</v>
      </c>
      <c r="Q404" s="31">
        <f>SUM($P$36:P404)</f>
        <v>-4200.4508268927375</v>
      </c>
      <c r="R404" s="83">
        <f t="shared" si="54"/>
        <v>-0.18787167041579905</v>
      </c>
      <c r="S404" s="31">
        <f>SUMPRODUCT($P$36:P404,$D$36:D404)/D404-Q404</f>
        <v>-6373.8965261286785</v>
      </c>
      <c r="T404" s="31">
        <f t="shared" si="48"/>
        <v>23863.214511757764</v>
      </c>
      <c r="U404" s="31">
        <f t="shared" si="49"/>
        <v>24484.454511757765</v>
      </c>
      <c r="V404" s="80" cm="1">
        <f t="array" ref="V404">IF($L$2&lt;&gt;1,IRR(IF(ROW($P$36:P404)=ROW(P404),P404+K404+J404,$P$36:P404),V403/12)*12,0)</f>
        <v>9.0666119918068055E-2</v>
      </c>
      <c r="W404" s="83">
        <f>(1+V404/12)^(B404)-1</f>
        <v>14.958259185963829</v>
      </c>
    </row>
    <row r="405" spans="2:23" x14ac:dyDescent="0.25">
      <c r="B405" s="33">
        <v>369</v>
      </c>
      <c r="C405" s="105">
        <f t="shared" si="47"/>
        <v>3.9789301544717048E-3</v>
      </c>
      <c r="D405" s="106">
        <f t="shared" si="50"/>
        <v>0.23100591345997123</v>
      </c>
      <c r="E405" s="60">
        <f>rate</f>
        <v>3.5145930840192463E-3</v>
      </c>
      <c r="F405" s="31">
        <f>IF(AND(B404&gt;=gracia,12*años+gracia-B404&gt;0,$L$2&lt;&gt;1),PMT(E404,12*años-B404+gracia,-J404),0)</f>
        <v>0</v>
      </c>
      <c r="G405" s="31">
        <f>IF(AND(12*años+gracia-B404&gt;0,$L$2&lt;&gt;1),J404*E405,0)</f>
        <v>0</v>
      </c>
      <c r="H405" s="31">
        <f>IF(AND(12*años+gracia-B404&gt;0,$L$2&lt;&gt;1),F405-G405,0)</f>
        <v>0</v>
      </c>
      <c r="I405" s="62"/>
      <c r="J405" s="61">
        <f>J404-H405-I405</f>
        <v>3.5527136788005009E-15</v>
      </c>
      <c r="K405" s="61">
        <f>K404*(1+$J$17)^(1/12)</f>
        <v>28200.266648735247</v>
      </c>
      <c r="L405" s="31">
        <f t="shared" si="51"/>
        <v>16</v>
      </c>
      <c r="M405" s="31">
        <f t="shared" si="52"/>
        <v>-2.6666666666666661</v>
      </c>
      <c r="N405" s="31">
        <f t="shared" si="53"/>
        <v>-2.35</v>
      </c>
      <c r="O405" s="62"/>
      <c r="P405" s="31">
        <f>O405+N405+M405+L405+I405+F405</f>
        <v>10.983333333333334</v>
      </c>
      <c r="Q405" s="31">
        <f>SUM($P$36:P405)</f>
        <v>-4189.4674935594039</v>
      </c>
      <c r="R405" s="83">
        <f t="shared" si="54"/>
        <v>-0.18678758368703999</v>
      </c>
      <c r="S405" s="31">
        <f>SUMPRODUCT($P$36:P405,$D$36:D405)/D405-Q405</f>
        <v>-6415.9711156754738</v>
      </c>
      <c r="T405" s="31">
        <f t="shared" si="48"/>
        <v>24010.799155175842</v>
      </c>
      <c r="U405" s="31">
        <f t="shared" si="49"/>
        <v>24632.039155175844</v>
      </c>
      <c r="V405" s="80" cm="1">
        <f t="array" ref="V405">IF($L$2&lt;&gt;1,IRR(IF(ROW($P$36:P405)=ROW(P405),P405+K405+J405,$P$36:P405),V404/12)*12,0)</f>
        <v>9.0571509127527428E-2</v>
      </c>
      <c r="W405" s="83">
        <f>(1+V405/12)^(B405)-1</f>
        <v>15.032471682255448</v>
      </c>
    </row>
    <row r="406" spans="2:23" x14ac:dyDescent="0.25">
      <c r="B406" s="33">
        <v>370</v>
      </c>
      <c r="C406" s="105">
        <f t="shared" si="47"/>
        <v>3.9789301544717048E-3</v>
      </c>
      <c r="D406" s="106">
        <f t="shared" si="50"/>
        <v>0.23009039982983387</v>
      </c>
      <c r="E406" s="60">
        <f>rate</f>
        <v>3.5145930840192463E-3</v>
      </c>
      <c r="F406" s="31">
        <f>IF(AND(B405&gt;=gracia,12*años+gracia-B405&gt;0,$L$2&lt;&gt;1),PMT(E405,12*años-B405+gracia,-J405),0)</f>
        <v>0</v>
      </c>
      <c r="G406" s="31">
        <f>IF(AND(12*años+gracia-B405&gt;0,$L$2&lt;&gt;1),J405*E406,0)</f>
        <v>0</v>
      </c>
      <c r="H406" s="31">
        <f>IF(AND(12*años+gracia-B405&gt;0,$L$2&lt;&gt;1),F406-G406,0)</f>
        <v>0</v>
      </c>
      <c r="I406" s="62"/>
      <c r="J406" s="61">
        <f>J405-H406-I406</f>
        <v>3.5527136788005009E-15</v>
      </c>
      <c r="K406" s="61">
        <f>K405*(1+$J$17)^(1/12)</f>
        <v>28337.532872604123</v>
      </c>
      <c r="L406" s="31">
        <f t="shared" si="51"/>
        <v>16</v>
      </c>
      <c r="M406" s="31">
        <f t="shared" si="52"/>
        <v>-2.6666666666666661</v>
      </c>
      <c r="N406" s="31">
        <f t="shared" si="53"/>
        <v>-2.35</v>
      </c>
      <c r="O406" s="62"/>
      <c r="P406" s="31">
        <f>O406+N406+M406+L406+I406+F406</f>
        <v>10.983333333333334</v>
      </c>
      <c r="Q406" s="31">
        <f>SUM($P$36:P406)</f>
        <v>-4178.4841602260703</v>
      </c>
      <c r="R406" s="83">
        <f t="shared" si="54"/>
        <v>-0.18570935688654447</v>
      </c>
      <c r="S406" s="31">
        <f>SUMPRODUCT($P$36:P406,$D$36:D406)/D406-Q406</f>
        <v>-6458.1694151591573</v>
      </c>
      <c r="T406" s="31">
        <f t="shared" si="48"/>
        <v>24159.048712378051</v>
      </c>
      <c r="U406" s="31">
        <f t="shared" si="49"/>
        <v>24780.288712378053</v>
      </c>
      <c r="V406" s="80" cm="1">
        <f t="array" ref="V406">IF($L$2&lt;&gt;1,IRR(IF(ROW($P$36:P406)=ROW(P406),P406+K406+J406,$P$36:P406),V405/12)*12,0)</f>
        <v>9.0477484121125329E-2</v>
      </c>
      <c r="W406" s="83">
        <f>(1+V406/12)^(B406)-1</f>
        <v>15.107065595804478</v>
      </c>
    </row>
    <row r="407" spans="2:23" x14ac:dyDescent="0.25">
      <c r="B407" s="33">
        <v>371</v>
      </c>
      <c r="C407" s="105">
        <f t="shared" si="47"/>
        <v>3.9789301544717048E-3</v>
      </c>
      <c r="D407" s="106">
        <f t="shared" si="50"/>
        <v>0.22917851452762289</v>
      </c>
      <c r="E407" s="60">
        <f>rate</f>
        <v>3.5145930840192463E-3</v>
      </c>
      <c r="F407" s="31">
        <f>IF(AND(B406&gt;=gracia,12*años+gracia-B406&gt;0,$L$2&lt;&gt;1),PMT(E406,12*años-B406+gracia,-J406),0)</f>
        <v>0</v>
      </c>
      <c r="G407" s="31">
        <f>IF(AND(12*años+gracia-B406&gt;0,$L$2&lt;&gt;1),J406*E407,0)</f>
        <v>0</v>
      </c>
      <c r="H407" s="31">
        <f>IF(AND(12*años+gracia-B406&gt;0,$L$2&lt;&gt;1),F407-G407,0)</f>
        <v>0</v>
      </c>
      <c r="I407" s="62"/>
      <c r="J407" s="61">
        <f>J406-H407-I407</f>
        <v>3.5527136788005009E-15</v>
      </c>
      <c r="K407" s="61">
        <f>K406*(1+$J$17)^(1/12)</f>
        <v>28475.467246758595</v>
      </c>
      <c r="L407" s="31">
        <f t="shared" si="51"/>
        <v>16</v>
      </c>
      <c r="M407" s="31">
        <f t="shared" si="52"/>
        <v>-2.6666666666666661</v>
      </c>
      <c r="N407" s="31">
        <f t="shared" si="53"/>
        <v>-2.35</v>
      </c>
      <c r="O407" s="62"/>
      <c r="P407" s="31">
        <f>O407+N407+M407+L407+I407+F407</f>
        <v>10.983333333333334</v>
      </c>
      <c r="Q407" s="31">
        <f>SUM($P$36:P407)</f>
        <v>-4167.5008268927368</v>
      </c>
      <c r="R407" s="83">
        <f t="shared" si="54"/>
        <v>-0.18463694262944785</v>
      </c>
      <c r="S407" s="31">
        <f>SUMPRODUCT($P$36:P407,$D$36:D407)/D407-Q407</f>
        <v>-6500.4919168129245</v>
      </c>
      <c r="T407" s="31">
        <f t="shared" si="48"/>
        <v>24307.966419865857</v>
      </c>
      <c r="U407" s="31">
        <f t="shared" si="49"/>
        <v>24929.206419865859</v>
      </c>
      <c r="V407" s="80" cm="1">
        <f t="array" ref="V407">IF($L$2&lt;&gt;1,IRR(IF(ROW($P$36:P407)=ROW(P407),P407+K407+J407,$P$36:P407),V406/12)*12,0)</f>
        <v>9.0384039218690759E-2</v>
      </c>
      <c r="W407" s="83">
        <f>(1+V407/12)^(B407)-1</f>
        <v>15.182042573563319</v>
      </c>
    </row>
    <row r="408" spans="2:23" x14ac:dyDescent="0.25">
      <c r="B408" s="33">
        <v>372</v>
      </c>
      <c r="C408" s="105">
        <f t="shared" si="47"/>
        <v>3.9789301544717048E-3</v>
      </c>
      <c r="D408" s="106">
        <f t="shared" si="50"/>
        <v>0.22827024317369049</v>
      </c>
      <c r="E408" s="60">
        <f>rate</f>
        <v>3.5145930840192463E-3</v>
      </c>
      <c r="F408" s="31">
        <f>IF(AND(B407&gt;=gracia,12*años+gracia-B407&gt;0,$L$2&lt;&gt;1),PMT(E407,12*años-B407+gracia,-J407),0)</f>
        <v>0</v>
      </c>
      <c r="G408" s="31">
        <f>IF(AND(12*años+gracia-B407&gt;0,$L$2&lt;&gt;1),J407*E408,0)</f>
        <v>0</v>
      </c>
      <c r="H408" s="31">
        <f>IF(AND(12*años+gracia-B407&gt;0,$L$2&lt;&gt;1),F408-G408,0)</f>
        <v>0</v>
      </c>
      <c r="I408" s="62"/>
      <c r="J408" s="61">
        <f>J407-H408-I408</f>
        <v>3.5527136788005009E-15</v>
      </c>
      <c r="K408" s="61">
        <f>K407*(1+$J$17)^(1/12)</f>
        <v>28614.073023453962</v>
      </c>
      <c r="L408" s="31">
        <f t="shared" si="51"/>
        <v>16</v>
      </c>
      <c r="M408" s="31">
        <f t="shared" si="52"/>
        <v>-2.6666666666666661</v>
      </c>
      <c r="N408" s="31">
        <f t="shared" si="53"/>
        <v>-2.35</v>
      </c>
      <c r="O408" s="62"/>
      <c r="P408" s="31">
        <f>O408+N408+M408+L408+I408+F408</f>
        <v>10.983333333333334</v>
      </c>
      <c r="Q408" s="31">
        <f>SUM($P$36:P408)</f>
        <v>-4156.5174935594032</v>
      </c>
      <c r="R408" s="83">
        <f t="shared" si="54"/>
        <v>-0.18357029404040012</v>
      </c>
      <c r="S408" s="31">
        <f>SUMPRODUCT($P$36:P408,$D$36:D408)/D408-Q408</f>
        <v>-6542.9391148285422</v>
      </c>
      <c r="T408" s="31">
        <f t="shared" si="48"/>
        <v>24457.555529894558</v>
      </c>
      <c r="U408" s="31">
        <f t="shared" si="49"/>
        <v>25078.79552989456</v>
      </c>
      <c r="V408" s="80" cm="1">
        <f t="array" ref="V408">IF($L$2&lt;&gt;1,IRR(IF(ROW($P$36:P408)=ROW(P408),P408+K408+J408,$P$36:P408),V407/12)*12,0)</f>
        <v>9.0291168814052192E-2</v>
      </c>
      <c r="W408" s="83">
        <f>(1+V408/12)^(B408)-1</f>
        <v>15.257404272665759</v>
      </c>
    </row>
    <row r="409" spans="2:23" x14ac:dyDescent="0.25">
      <c r="B409" s="33">
        <v>373</v>
      </c>
      <c r="C409" s="105">
        <f t="shared" si="47"/>
        <v>3.9789301544717048E-3</v>
      </c>
      <c r="D409" s="106">
        <f t="shared" si="50"/>
        <v>0.22736557144537778</v>
      </c>
      <c r="E409" s="60">
        <f>rate</f>
        <v>3.5145930840192463E-3</v>
      </c>
      <c r="F409" s="31">
        <f>IF(AND(B408&gt;=gracia,12*años+gracia-B408&gt;0,$L$2&lt;&gt;1),PMT(E408,12*años-B408+gracia,-J408),0)</f>
        <v>0</v>
      </c>
      <c r="G409" s="31">
        <f>IF(AND(12*años+gracia-B408&gt;0,$L$2&lt;&gt;1),J408*E409,0)</f>
        <v>0</v>
      </c>
      <c r="H409" s="31">
        <f>IF(AND(12*años+gracia-B408&gt;0,$L$2&lt;&gt;1),F409-G409,0)</f>
        <v>0</v>
      </c>
      <c r="I409" s="62"/>
      <c r="J409" s="61">
        <f>J408-H409-I409</f>
        <v>3.5527136788005009E-15</v>
      </c>
      <c r="K409" s="61">
        <f>K408*(1+$J$17)^(1/12)</f>
        <v>28753.353470776045</v>
      </c>
      <c r="L409" s="31">
        <f t="shared" si="51"/>
        <v>16</v>
      </c>
      <c r="M409" s="31">
        <f t="shared" si="52"/>
        <v>-2.6666666666666661</v>
      </c>
      <c r="N409" s="31">
        <f t="shared" si="53"/>
        <v>-2.35</v>
      </c>
      <c r="O409" s="62"/>
      <c r="P409" s="31">
        <f>O409+N409+M409+L409+I409+F409</f>
        <v>10.983333333333334</v>
      </c>
      <c r="Q409" s="31">
        <f>SUM($P$36:P409)</f>
        <v>-4145.5341602260696</v>
      </c>
      <c r="R409" s="83">
        <f t="shared" si="54"/>
        <v>-0.18250936474673604</v>
      </c>
      <c r="S409" s="31">
        <f>SUMPRODUCT($P$36:P409,$D$36:D409)/D409-Q409</f>
        <v>-6585.5115053641193</v>
      </c>
      <c r="T409" s="31">
        <f t="shared" si="48"/>
        <v>24607.819310549974</v>
      </c>
      <c r="U409" s="31">
        <f t="shared" si="49"/>
        <v>25229.059310549976</v>
      </c>
      <c r="V409" s="80" cm="1">
        <f t="array" ref="V409">IF($L$2&lt;&gt;1,IRR(IF(ROW($P$36:P409)=ROW(P409),P409+K409+J409,$P$36:P409),V408/12)*12,0)</f>
        <v>9.0198867373883829E-2</v>
      </c>
      <c r="W409" s="83">
        <f>(1+V409/12)^(B409)-1</f>
        <v>15.333152360457188</v>
      </c>
    </row>
    <row r="410" spans="2:23" x14ac:dyDescent="0.25">
      <c r="B410" s="33">
        <v>374</v>
      </c>
      <c r="C410" s="105">
        <f t="shared" si="47"/>
        <v>3.9789301544717048E-3</v>
      </c>
      <c r="D410" s="106">
        <f t="shared" si="50"/>
        <v>0.22646448507678885</v>
      </c>
      <c r="E410" s="60">
        <f>rate</f>
        <v>3.5145930840192463E-3</v>
      </c>
      <c r="F410" s="31">
        <f>IF(AND(B409&gt;=gracia,12*años+gracia-B409&gt;0,$L$2&lt;&gt;1),PMT(E409,12*años-B409+gracia,-J409),0)</f>
        <v>0</v>
      </c>
      <c r="G410" s="31">
        <f>IF(AND(12*años+gracia-B409&gt;0,$L$2&lt;&gt;1),J409*E410,0)</f>
        <v>0</v>
      </c>
      <c r="H410" s="31">
        <f>IF(AND(12*años+gracia-B409&gt;0,$L$2&lt;&gt;1),F410-G410,0)</f>
        <v>0</v>
      </c>
      <c r="I410" s="62"/>
      <c r="J410" s="61">
        <f>J409-H410-I410</f>
        <v>3.5527136788005009E-15</v>
      </c>
      <c r="K410" s="61">
        <f>K409*(1+$J$17)^(1/12)</f>
        <v>28893.31187271823</v>
      </c>
      <c r="L410" s="31">
        <f t="shared" si="51"/>
        <v>16</v>
      </c>
      <c r="M410" s="31">
        <f t="shared" si="52"/>
        <v>-2.6666666666666661</v>
      </c>
      <c r="N410" s="31">
        <f t="shared" si="53"/>
        <v>-2.35</v>
      </c>
      <c r="O410" s="62"/>
      <c r="P410" s="31">
        <f>O410+N410+M410+L410+I410+F410</f>
        <v>10.983333333333334</v>
      </c>
      <c r="Q410" s="31">
        <f>SUM($P$36:P410)</f>
        <v>-4134.550826892736</v>
      </c>
      <c r="R410" s="83">
        <f t="shared" si="54"/>
        <v>-0.18145410887175464</v>
      </c>
      <c r="S410" s="31">
        <f>SUMPRODUCT($P$36:P410,$D$36:D410)/D410-Q410</f>
        <v>-6628.2095865519486</v>
      </c>
      <c r="T410" s="31">
        <f t="shared" si="48"/>
        <v>24758.761045825493</v>
      </c>
      <c r="U410" s="31">
        <f t="shared" si="49"/>
        <v>25380.001045825495</v>
      </c>
      <c r="V410" s="80" cm="1">
        <f t="array" ref="V410">IF($L$2&lt;&gt;1,IRR(IF(ROW($P$36:P410)=ROW(P410),P410+K410+J410,$P$36:P410),V409/12)*12,0)</f>
        <v>9.0107129436517219E-2</v>
      </c>
      <c r="W410" s="83">
        <f>(1+V410/12)^(B410)-1</f>
        <v>15.409288514502034</v>
      </c>
    </row>
    <row r="411" spans="2:23" x14ac:dyDescent="0.25">
      <c r="B411" s="33">
        <v>375</v>
      </c>
      <c r="C411" s="105">
        <f t="shared" si="47"/>
        <v>3.9789301544717048E-3</v>
      </c>
      <c r="D411" s="106">
        <f t="shared" si="50"/>
        <v>0.22556696985856578</v>
      </c>
      <c r="E411" s="60">
        <f>rate</f>
        <v>3.5145930840192463E-3</v>
      </c>
      <c r="F411" s="31">
        <f>IF(AND(B410&gt;=gracia,12*años+gracia-B410&gt;0,$L$2&lt;&gt;1),PMT(E410,12*años-B410+gracia,-J410),0)</f>
        <v>0</v>
      </c>
      <c r="G411" s="31">
        <f>IF(AND(12*años+gracia-B410&gt;0,$L$2&lt;&gt;1),J410*E411,0)</f>
        <v>0</v>
      </c>
      <c r="H411" s="31">
        <f>IF(AND(12*años+gracia-B410&gt;0,$L$2&lt;&gt;1),F411-G411,0)</f>
        <v>0</v>
      </c>
      <c r="I411" s="62"/>
      <c r="J411" s="61">
        <f>J410-H411-I411</f>
        <v>3.5527136788005009E-15</v>
      </c>
      <c r="K411" s="61">
        <f>K410*(1+$J$17)^(1/12)</f>
        <v>29033.951529258913</v>
      </c>
      <c r="L411" s="31">
        <f t="shared" si="51"/>
        <v>16</v>
      </c>
      <c r="M411" s="31">
        <f t="shared" si="52"/>
        <v>-2.6666666666666661</v>
      </c>
      <c r="N411" s="31">
        <f t="shared" si="53"/>
        <v>-2.35</v>
      </c>
      <c r="O411" s="62"/>
      <c r="P411" s="31">
        <f>O411+N411+M411+L411+I411+F411</f>
        <v>10.983333333333334</v>
      </c>
      <c r="Q411" s="31">
        <f>SUM($P$36:P411)</f>
        <v>-4123.5674935594025</v>
      </c>
      <c r="R411" s="83">
        <f t="shared" si="54"/>
        <v>-0.18040448102810649</v>
      </c>
      <c r="S411" s="31">
        <f>SUMPRODUCT($P$36:P411,$D$36:D411)/D411-Q411</f>
        <v>-6671.0338585063591</v>
      </c>
      <c r="T411" s="31">
        <f t="shared" si="48"/>
        <v>24910.38403569951</v>
      </c>
      <c r="U411" s="31">
        <f t="shared" si="49"/>
        <v>25531.624035699511</v>
      </c>
      <c r="V411" s="80" cm="1">
        <f t="array" ref="V411">IF($L$2&lt;&gt;1,IRR(IF(ROW($P$36:P411)=ROW(P411),P411+K411+J411,$P$36:P411),V410/12)*12,0)</f>
        <v>9.0015949610806167E-2</v>
      </c>
      <c r="W411" s="83">
        <f>(1+V411/12)^(B411)-1</f>
        <v>15.48581442260835</v>
      </c>
    </row>
    <row r="412" spans="2:23" x14ac:dyDescent="0.25">
      <c r="B412" s="33">
        <v>376</v>
      </c>
      <c r="C412" s="105">
        <f t="shared" si="47"/>
        <v>3.9789301544717048E-3</v>
      </c>
      <c r="D412" s="106">
        <f t="shared" si="50"/>
        <v>0.2246730116376647</v>
      </c>
      <c r="E412" s="60">
        <f>rate</f>
        <v>3.5145930840192463E-3</v>
      </c>
      <c r="F412" s="31">
        <f>IF(AND(B411&gt;=gracia,12*años+gracia-B411&gt;0,$L$2&lt;&gt;1),PMT(E411,12*años-B411+gracia,-J411),0)</f>
        <v>0</v>
      </c>
      <c r="G412" s="31">
        <f>IF(AND(12*años+gracia-B411&gt;0,$L$2&lt;&gt;1),J411*E412,0)</f>
        <v>0</v>
      </c>
      <c r="H412" s="31">
        <f>IF(AND(12*años+gracia-B411&gt;0,$L$2&lt;&gt;1),F412-G412,0)</f>
        <v>0</v>
      </c>
      <c r="I412" s="62"/>
      <c r="J412" s="61">
        <f>J411-H412-I412</f>
        <v>3.5527136788005009E-15</v>
      </c>
      <c r="K412" s="61">
        <f>K411*(1+$J$17)^(1/12)</f>
        <v>29175.2757564393</v>
      </c>
      <c r="L412" s="31">
        <f t="shared" si="51"/>
        <v>16</v>
      </c>
      <c r="M412" s="31">
        <f t="shared" si="52"/>
        <v>-2.6666666666666661</v>
      </c>
      <c r="N412" s="31">
        <f t="shared" si="53"/>
        <v>-2.35</v>
      </c>
      <c r="O412" s="62"/>
      <c r="P412" s="31">
        <f>O412+N412+M412+L412+I412+F412</f>
        <v>10.983333333333334</v>
      </c>
      <c r="Q412" s="31">
        <f>SUM($P$36:P412)</f>
        <v>-4112.5841602260689</v>
      </c>
      <c r="R412" s="83">
        <f t="shared" si="54"/>
        <v>-0.17936043631128629</v>
      </c>
      <c r="S412" s="31">
        <f>SUMPRODUCT($P$36:P412,$D$36:D412)/D412-Q412</f>
        <v>-6713.9848233315943</v>
      </c>
      <c r="T412" s="31">
        <f t="shared" si="48"/>
        <v>25062.69159621323</v>
      </c>
      <c r="U412" s="31">
        <f t="shared" si="49"/>
        <v>25683.931596213231</v>
      </c>
      <c r="V412" s="80" cm="1">
        <f t="array" ref="V412">IF($L$2&lt;&gt;1,IRR(IF(ROW($P$36:P412)=ROW(P412),P412+K412+J412,$P$36:P412),V411/12)*12,0)</f>
        <v>8.9925322575012956E-2</v>
      </c>
      <c r="W412" s="83">
        <f>(1+V412/12)^(B412)-1</f>
        <v>15.562731782852907</v>
      </c>
    </row>
    <row r="413" spans="2:23" x14ac:dyDescent="0.25">
      <c r="B413" s="33">
        <v>377</v>
      </c>
      <c r="C413" s="105">
        <f t="shared" si="47"/>
        <v>3.9789301544717048E-3</v>
      </c>
      <c r="D413" s="106">
        <f t="shared" si="50"/>
        <v>0.22378259631713249</v>
      </c>
      <c r="E413" s="60">
        <f>rate</f>
        <v>3.5145930840192463E-3</v>
      </c>
      <c r="F413" s="31">
        <f>IF(AND(B412&gt;=gracia,12*años+gracia-B412&gt;0,$L$2&lt;&gt;1),PMT(E412,12*años-B412+gracia,-J412),0)</f>
        <v>0</v>
      </c>
      <c r="G413" s="31">
        <f>IF(AND(12*años+gracia-B412&gt;0,$L$2&lt;&gt;1),J412*E413,0)</f>
        <v>0</v>
      </c>
      <c r="H413" s="31">
        <f>IF(AND(12*años+gracia-B412&gt;0,$L$2&lt;&gt;1),F413-G413,0)</f>
        <v>0</v>
      </c>
      <c r="I413" s="62"/>
      <c r="J413" s="61">
        <f>J412-H413-I413</f>
        <v>3.5527136788005009E-15</v>
      </c>
      <c r="K413" s="61">
        <f>K412*(1+$J$17)^(1/12)</f>
        <v>29317.287886441594</v>
      </c>
      <c r="L413" s="31">
        <f t="shared" si="51"/>
        <v>16</v>
      </c>
      <c r="M413" s="31">
        <f t="shared" si="52"/>
        <v>-2.6666666666666661</v>
      </c>
      <c r="N413" s="31">
        <f t="shared" si="53"/>
        <v>-2.35</v>
      </c>
      <c r="O413" s="62"/>
      <c r="P413" s="31">
        <f>O413+N413+M413+L413+I413+F413</f>
        <v>10.983333333333334</v>
      </c>
      <c r="Q413" s="31">
        <f>SUM($P$36:P413)</f>
        <v>-4101.6008268927353</v>
      </c>
      <c r="R413" s="83">
        <f t="shared" si="54"/>
        <v>-0.17832193029322901</v>
      </c>
      <c r="S413" s="31">
        <f>SUMPRODUCT($P$36:P413,$D$36:D413)/D413-Q413</f>
        <v>-6757.0629851297426</v>
      </c>
      <c r="T413" s="31">
        <f t="shared" si="48"/>
        <v>25215.687059548858</v>
      </c>
      <c r="U413" s="31">
        <f t="shared" si="49"/>
        <v>25836.92705954886</v>
      </c>
      <c r="V413" s="80" cm="1">
        <f t="array" ref="V413">IF($L$2&lt;&gt;1,IRR(IF(ROW($P$36:P413)=ROW(P413),P413+K413+J413,$P$36:P413),V412/12)*12,0)</f>
        <v>8.9835243075705229E-2</v>
      </c>
      <c r="W413" s="83">
        <f>(1+V413/12)^(B413)-1</f>
        <v>15.640042303598491</v>
      </c>
    </row>
    <row r="414" spans="2:23" x14ac:dyDescent="0.25">
      <c r="B414" s="33">
        <v>378</v>
      </c>
      <c r="C414" s="105">
        <f t="shared" si="47"/>
        <v>3.9789301544717048E-3</v>
      </c>
      <c r="D414" s="106">
        <f t="shared" si="50"/>
        <v>0.22289570985588453</v>
      </c>
      <c r="E414" s="60">
        <f>rate</f>
        <v>3.5145930840192463E-3</v>
      </c>
      <c r="F414" s="31">
        <f>IF(AND(B413&gt;=gracia,12*años+gracia-B413&gt;0,$L$2&lt;&gt;1),PMT(E413,12*años-B413+gracia,-J413),0)</f>
        <v>0</v>
      </c>
      <c r="G414" s="31">
        <f>IF(AND(12*años+gracia-B413&gt;0,$L$2&lt;&gt;1),J413*E414,0)</f>
        <v>0</v>
      </c>
      <c r="H414" s="31">
        <f>IF(AND(12*años+gracia-B413&gt;0,$L$2&lt;&gt;1),F414-G414,0)</f>
        <v>0</v>
      </c>
      <c r="I414" s="62"/>
      <c r="J414" s="61">
        <f>J413-H414-I414</f>
        <v>3.5527136788005009E-15</v>
      </c>
      <c r="K414" s="61">
        <f>K413*(1+$J$17)^(1/12)</f>
        <v>29459.991267667567</v>
      </c>
      <c r="L414" s="31">
        <f t="shared" si="51"/>
        <v>16</v>
      </c>
      <c r="M414" s="31">
        <f t="shared" si="52"/>
        <v>-2.6666666666666661</v>
      </c>
      <c r="N414" s="31">
        <f t="shared" si="53"/>
        <v>-2.35</v>
      </c>
      <c r="O414" s="62"/>
      <c r="P414" s="31">
        <f>O414+N414+M414+L414+I414+F414</f>
        <v>10.983333333333334</v>
      </c>
      <c r="Q414" s="31">
        <f>SUM($P$36:P414)</f>
        <v>-4090.6174935594022</v>
      </c>
      <c r="R414" s="83">
        <f t="shared" si="54"/>
        <v>-0.17728891901600802</v>
      </c>
      <c r="S414" s="31">
        <f>SUMPRODUCT($P$36:P414,$D$36:D414)/D414-Q414</f>
        <v>-6800.2688500086679</v>
      </c>
      <c r="T414" s="31">
        <f t="shared" si="48"/>
        <v>25369.373774108164</v>
      </c>
      <c r="U414" s="31">
        <f t="shared" si="49"/>
        <v>25990.613774108166</v>
      </c>
      <c r="V414" s="80" cm="1">
        <f t="array" ref="V414">IF($L$2&lt;&gt;1,IRR(IF(ROW($P$36:P414)=ROW(P414),P414+K414+J414,$P$36:P414),V413/12)*12,0)</f>
        <v>8.9745705926671526E-2</v>
      </c>
      <c r="W414" s="83">
        <f>(1+V414/12)^(B414)-1</f>
        <v>15.717747703513552</v>
      </c>
    </row>
    <row r="415" spans="2:23" x14ac:dyDescent="0.25">
      <c r="B415" s="33">
        <v>379</v>
      </c>
      <c r="C415" s="105">
        <f t="shared" si="47"/>
        <v>3.9789301544717048E-3</v>
      </c>
      <c r="D415" s="106">
        <f t="shared" si="50"/>
        <v>0.22201233826848329</v>
      </c>
      <c r="E415" s="60">
        <f>rate</f>
        <v>3.5145930840192463E-3</v>
      </c>
      <c r="F415" s="31">
        <f>IF(AND(B414&gt;=gracia,12*años+gracia-B414&gt;0,$L$2&lt;&gt;1),PMT(E414,12*años-B414+gracia,-J414),0)</f>
        <v>0</v>
      </c>
      <c r="G415" s="31">
        <f>IF(AND(12*años+gracia-B414&gt;0,$L$2&lt;&gt;1),J414*E415,0)</f>
        <v>0</v>
      </c>
      <c r="H415" s="31">
        <f>IF(AND(12*años+gracia-B414&gt;0,$L$2&lt;&gt;1),F415-G415,0)</f>
        <v>0</v>
      </c>
      <c r="I415" s="62"/>
      <c r="J415" s="61">
        <f>J414-H415-I415</f>
        <v>3.5527136788005009E-15</v>
      </c>
      <c r="K415" s="61">
        <f>K414*(1+$J$17)^(1/12)</f>
        <v>29603.389264817502</v>
      </c>
      <c r="L415" s="31">
        <f t="shared" si="51"/>
        <v>16</v>
      </c>
      <c r="M415" s="31">
        <f t="shared" si="52"/>
        <v>-2.6666666666666661</v>
      </c>
      <c r="N415" s="31">
        <f t="shared" si="53"/>
        <v>-2.35</v>
      </c>
      <c r="O415" s="62"/>
      <c r="P415" s="31">
        <f>O415+N415+M415+L415+I415+F415</f>
        <v>10.983333333333334</v>
      </c>
      <c r="Q415" s="31">
        <f>SUM($P$36:P415)</f>
        <v>-4079.6341602260691</v>
      </c>
      <c r="R415" s="83">
        <f t="shared" si="54"/>
        <v>-0.17626135898563261</v>
      </c>
      <c r="S415" s="31">
        <f>SUMPRODUCT($P$36:P415,$D$36:D415)/D415-Q415</f>
        <v>-6843.6029260900141</v>
      </c>
      <c r="T415" s="31">
        <f t="shared" si="48"/>
        <v>25523.755104591433</v>
      </c>
      <c r="U415" s="31">
        <f t="shared" si="49"/>
        <v>26144.995104591435</v>
      </c>
      <c r="V415" s="80" cm="1">
        <f t="array" ref="V415">IF($L$2&lt;&gt;1,IRR(IF(ROW($P$36:P415)=ROW(P415),P415+K415+J415,$P$36:P415),V414/12)*12,0)</f>
        <v>8.9656706007866127E-2</v>
      </c>
      <c r="W415" s="83">
        <f>(1+V415/12)^(B415)-1</f>
        <v>15.795849711597022</v>
      </c>
    </row>
    <row r="416" spans="2:23" x14ac:dyDescent="0.25">
      <c r="B416" s="33">
        <v>380</v>
      </c>
      <c r="C416" s="105">
        <f t="shared" si="47"/>
        <v>3.9789301544717048E-3</v>
      </c>
      <c r="D416" s="106">
        <f t="shared" si="50"/>
        <v>0.22113246762491778</v>
      </c>
      <c r="E416" s="60">
        <f>rate</f>
        <v>3.5145930840192463E-3</v>
      </c>
      <c r="F416" s="31">
        <f>IF(AND(B415&gt;=gracia,12*años+gracia-B415&gt;0,$L$2&lt;&gt;1),PMT(E415,12*años-B415+gracia,-J415),0)</f>
        <v>0</v>
      </c>
      <c r="G416" s="31">
        <f>IF(AND(12*años+gracia-B415&gt;0,$L$2&lt;&gt;1),J415*E416,0)</f>
        <v>0</v>
      </c>
      <c r="H416" s="31">
        <f>IF(AND(12*años+gracia-B415&gt;0,$L$2&lt;&gt;1),F416-G416,0)</f>
        <v>0</v>
      </c>
      <c r="I416" s="62"/>
      <c r="J416" s="61">
        <f>J415-H416-I416</f>
        <v>3.5527136788005009E-15</v>
      </c>
      <c r="K416" s="61">
        <f>K415*(1+$J$17)^(1/12)</f>
        <v>29747.485258969537</v>
      </c>
      <c r="L416" s="31">
        <f t="shared" si="51"/>
        <v>16</v>
      </c>
      <c r="M416" s="31">
        <f t="shared" si="52"/>
        <v>-2.6666666666666661</v>
      </c>
      <c r="N416" s="31">
        <f t="shared" si="53"/>
        <v>-2.35</v>
      </c>
      <c r="O416" s="62"/>
      <c r="P416" s="31">
        <f>O416+N416+M416+L416+I416+F416</f>
        <v>10.983333333333334</v>
      </c>
      <c r="Q416" s="31">
        <f>SUM($P$36:P416)</f>
        <v>-4068.6508268927359</v>
      </c>
      <c r="R416" s="83">
        <f t="shared" si="54"/>
        <v>-0.17523920716594329</v>
      </c>
      <c r="S416" s="31">
        <f>SUMPRODUCT($P$36:P416,$D$36:D416)/D416-Q416</f>
        <v>-6887.0657235172002</v>
      </c>
      <c r="T416" s="31">
        <f t="shared" si="48"/>
        <v>25678.834432076801</v>
      </c>
      <c r="U416" s="31">
        <f t="shared" si="49"/>
        <v>26300.074432076803</v>
      </c>
      <c r="V416" s="80" cm="1">
        <f t="array" ref="V416">IF($L$2&lt;&gt;1,IRR(IF(ROW($P$36:P416)=ROW(P416),P416+K416+J416,$P$36:P416),V415/12)*12,0)</f>
        <v>8.9568238264375211E-2</v>
      </c>
      <c r="W416" s="83">
        <f>(1+V416/12)^(B416)-1</f>
        <v>15.874350067205057</v>
      </c>
    </row>
    <row r="417" spans="2:23" x14ac:dyDescent="0.25">
      <c r="B417" s="33">
        <v>381</v>
      </c>
      <c r="C417" s="105">
        <f t="shared" si="47"/>
        <v>3.9789301544717048E-3</v>
      </c>
      <c r="D417" s="106">
        <f t="shared" si="50"/>
        <v>0.22025608405038385</v>
      </c>
      <c r="E417" s="60">
        <f>rate</f>
        <v>3.5145930840192463E-3</v>
      </c>
      <c r="F417" s="31">
        <f>IF(AND(B416&gt;=gracia,12*años+gracia-B416&gt;0,$L$2&lt;&gt;1),PMT(E416,12*años-B416+gracia,-J416),0)</f>
        <v>0</v>
      </c>
      <c r="G417" s="31">
        <f>IF(AND(12*años+gracia-B416&gt;0,$L$2&lt;&gt;1),J416*E417,0)</f>
        <v>0</v>
      </c>
      <c r="H417" s="31">
        <f>IF(AND(12*años+gracia-B416&gt;0,$L$2&lt;&gt;1),F417-G417,0)</f>
        <v>0</v>
      </c>
      <c r="I417" s="62"/>
      <c r="J417" s="61">
        <f>J416-H417-I417</f>
        <v>3.5527136788005009E-15</v>
      </c>
      <c r="K417" s="61">
        <f>K416*(1+$J$17)^(1/12)</f>
        <v>29892.282647659369</v>
      </c>
      <c r="L417" s="31">
        <f t="shared" si="51"/>
        <v>16</v>
      </c>
      <c r="M417" s="31">
        <f t="shared" si="52"/>
        <v>-2.6666666666666661</v>
      </c>
      <c r="N417" s="31">
        <f t="shared" si="53"/>
        <v>-2.35</v>
      </c>
      <c r="O417" s="62"/>
      <c r="P417" s="31">
        <f>O417+N417+M417+L417+I417+F417</f>
        <v>10.983333333333334</v>
      </c>
      <c r="Q417" s="31">
        <f>SUM($P$36:P417)</f>
        <v>-4057.6674935594028</v>
      </c>
      <c r="R417" s="83">
        <f t="shared" si="54"/>
        <v>-0.17422242097260407</v>
      </c>
      <c r="S417" s="31">
        <f>SUMPRODUCT($P$36:P417,$D$36:D417)/D417-Q417</f>
        <v>-6930.6577544634702</v>
      </c>
      <c r="T417" s="31">
        <f t="shared" si="48"/>
        <v>25834.615154099967</v>
      </c>
      <c r="U417" s="31">
        <f t="shared" si="49"/>
        <v>26455.855154099969</v>
      </c>
      <c r="V417" s="80" cm="1">
        <f t="array" ref="V417">IF($L$2&lt;&gt;1,IRR(IF(ROW($P$36:P417)=ROW(P417),P417+K417+J417,$P$36:P417),V416/12)*12,0)</f>
        <v>8.9480297705385681E-2</v>
      </c>
      <c r="W417" s="83">
        <f>(1+V417/12)^(B417)-1</f>
        <v>15.953250520067044</v>
      </c>
    </row>
    <row r="418" spans="2:23" x14ac:dyDescent="0.25">
      <c r="B418" s="33">
        <v>382</v>
      </c>
      <c r="C418" s="105">
        <f t="shared" si="47"/>
        <v>3.9789301544717048E-3</v>
      </c>
      <c r="D418" s="106">
        <f t="shared" si="50"/>
        <v>0.21938317372506549</v>
      </c>
      <c r="E418" s="60">
        <f>rate</f>
        <v>3.5145930840192463E-3</v>
      </c>
      <c r="F418" s="31">
        <f>IF(AND(B417&gt;=gracia,12*años+gracia-B417&gt;0,$L$2&lt;&gt;1),PMT(E417,12*años-B417+gracia,-J417),0)</f>
        <v>0</v>
      </c>
      <c r="G418" s="31">
        <f>IF(AND(12*años+gracia-B417&gt;0,$L$2&lt;&gt;1),J417*E418,0)</f>
        <v>0</v>
      </c>
      <c r="H418" s="31">
        <f>IF(AND(12*años+gracia-B417&gt;0,$L$2&lt;&gt;1),F418-G418,0)</f>
        <v>0</v>
      </c>
      <c r="I418" s="62"/>
      <c r="J418" s="61">
        <f>J417-H418-I418</f>
        <v>3.5527136788005009E-15</v>
      </c>
      <c r="K418" s="61">
        <f>K417*(1+$J$17)^(1/12)</f>
        <v>30037.784844960377</v>
      </c>
      <c r="L418" s="31">
        <f t="shared" si="51"/>
        <v>16</v>
      </c>
      <c r="M418" s="31">
        <f t="shared" si="52"/>
        <v>-2.6666666666666661</v>
      </c>
      <c r="N418" s="31">
        <f t="shared" si="53"/>
        <v>-2.35</v>
      </c>
      <c r="O418" s="62"/>
      <c r="P418" s="31">
        <f>O418+N418+M418+L418+I418+F418</f>
        <v>10.983333333333334</v>
      </c>
      <c r="Q418" s="31">
        <f>SUM($P$36:P418)</f>
        <v>-4046.6841602260697</v>
      </c>
      <c r="R418" s="83">
        <f t="shared" si="54"/>
        <v>-0.1732109582671881</v>
      </c>
      <c r="S418" s="31">
        <f>SUMPRODUCT($P$36:P418,$D$36:D418)/D418-Q418</f>
        <v>-6974.3795331399706</v>
      </c>
      <c r="T418" s="31">
        <f t="shared" si="48"/>
        <v>25991.100684734309</v>
      </c>
      <c r="U418" s="31">
        <f t="shared" si="49"/>
        <v>26612.34068473431</v>
      </c>
      <c r="V418" s="80" cm="1">
        <f t="array" ref="V418">IF($L$2&lt;&gt;1,IRR(IF(ROW($P$36:P418)=ROW(P418),P418+K418+J418,$P$36:P418),V417/12)*12,0)</f>
        <v>8.9392879403183301E-2</v>
      </c>
      <c r="W418" s="83">
        <f>(1+V418/12)^(B418)-1</f>
        <v>16.032552830312181</v>
      </c>
    </row>
    <row r="419" spans="2:23" x14ac:dyDescent="0.25">
      <c r="B419" s="33">
        <v>383</v>
      </c>
      <c r="C419" s="105">
        <f t="shared" si="47"/>
        <v>3.9789301544717048E-3</v>
      </c>
      <c r="D419" s="106">
        <f t="shared" si="50"/>
        <v>0.21851372288391679</v>
      </c>
      <c r="E419" s="60">
        <f>rate</f>
        <v>3.5145930840192463E-3</v>
      </c>
      <c r="F419" s="31">
        <f>IF(AND(B418&gt;=gracia,12*años+gracia-B418&gt;0,$L$2&lt;&gt;1),PMT(E418,12*años-B418+gracia,-J418),0)</f>
        <v>0</v>
      </c>
      <c r="G419" s="31">
        <f>IF(AND(12*años+gracia-B418&gt;0,$L$2&lt;&gt;1),J418*E419,0)</f>
        <v>0</v>
      </c>
      <c r="H419" s="31">
        <f>IF(AND(12*años+gracia-B418&gt;0,$L$2&lt;&gt;1),F419-G419,0)</f>
        <v>0</v>
      </c>
      <c r="I419" s="62"/>
      <c r="J419" s="61">
        <f>J418-H419-I419</f>
        <v>3.5527136788005009E-15</v>
      </c>
      <c r="K419" s="61">
        <f>K418*(1+$J$17)^(1/12)</f>
        <v>30183.995281564115</v>
      </c>
      <c r="L419" s="31">
        <f t="shared" si="51"/>
        <v>16</v>
      </c>
      <c r="M419" s="31">
        <f t="shared" si="52"/>
        <v>-2.6666666666666661</v>
      </c>
      <c r="N419" s="31">
        <f t="shared" si="53"/>
        <v>-2.35</v>
      </c>
      <c r="O419" s="62"/>
      <c r="P419" s="31">
        <f>O419+N419+M419+L419+I419+F419</f>
        <v>10.983333333333334</v>
      </c>
      <c r="Q419" s="31">
        <f>SUM($P$36:P419)</f>
        <v>-4035.7008268927366</v>
      </c>
      <c r="R419" s="83">
        <f t="shared" si="54"/>
        <v>-0.17220477735135659</v>
      </c>
      <c r="S419" s="31">
        <f>SUMPRODUCT($P$36:P419,$D$36:D419)/D419-Q419</f>
        <v>-7018.2315758038585</v>
      </c>
      <c r="T419" s="31">
        <f t="shared" si="48"/>
        <v>26148.294454671377</v>
      </c>
      <c r="U419" s="31">
        <f t="shared" si="49"/>
        <v>26769.534454671379</v>
      </c>
      <c r="V419" s="80" cm="1">
        <f t="array" ref="V419">IF($L$2&lt;&gt;1,IRR(IF(ROW($P$36:P419)=ROW(P419),P419+K419+J419,$P$36:P419),V418/12)*12,0)</f>
        <v>8.9305978492182803E-2</v>
      </c>
      <c r="W419" s="83">
        <f>(1+V419/12)^(B419)-1</f>
        <v>16.112258768500205</v>
      </c>
    </row>
    <row r="420" spans="2:23" x14ac:dyDescent="0.25">
      <c r="B420" s="33">
        <v>384</v>
      </c>
      <c r="C420" s="105">
        <f t="shared" si="47"/>
        <v>3.9789301544717048E-3</v>
      </c>
      <c r="D420" s="106">
        <f t="shared" si="50"/>
        <v>0.21764771781644499</v>
      </c>
      <c r="E420" s="60">
        <f>rate</f>
        <v>3.5145930840192463E-3</v>
      </c>
      <c r="F420" s="31">
        <f>IF(AND(B419&gt;=gracia,12*años+gracia-B419&gt;0,$L$2&lt;&gt;1),PMT(E419,12*años-B419+gracia,-J419),0)</f>
        <v>0</v>
      </c>
      <c r="G420" s="31">
        <f>IF(AND(12*años+gracia-B419&gt;0,$L$2&lt;&gt;1),J419*E420,0)</f>
        <v>0</v>
      </c>
      <c r="H420" s="31">
        <f>IF(AND(12*años+gracia-B419&gt;0,$L$2&lt;&gt;1),F420-G420,0)</f>
        <v>0</v>
      </c>
      <c r="I420" s="62"/>
      <c r="J420" s="61">
        <f>J419-H420-I420</f>
        <v>3.5527136788005009E-15</v>
      </c>
      <c r="K420" s="61">
        <f>K419*(1+$J$17)^(1/12)</f>
        <v>30330.917404861204</v>
      </c>
      <c r="L420" s="31">
        <f t="shared" si="51"/>
        <v>16</v>
      </c>
      <c r="M420" s="31">
        <f t="shared" si="52"/>
        <v>-2.6666666666666661</v>
      </c>
      <c r="N420" s="31">
        <f t="shared" si="53"/>
        <v>-2.35</v>
      </c>
      <c r="O420" s="62"/>
      <c r="P420" s="31">
        <f>O420+N420+M420+L420+I420+F420</f>
        <v>10.983333333333334</v>
      </c>
      <c r="Q420" s="31">
        <f>SUM($P$36:P420)</f>
        <v>-4024.7174935594035</v>
      </c>
      <c r="R420" s="83">
        <f t="shared" si="54"/>
        <v>-0.17120383696112831</v>
      </c>
      <c r="S420" s="31">
        <f>SUMPRODUCT($P$36:P420,$D$36:D420)/D420-Q420</f>
        <v>-7062.214400766441</v>
      </c>
      <c r="T420" s="31">
        <f t="shared" si="48"/>
        <v>26306.199911301799</v>
      </c>
      <c r="U420" s="31">
        <f t="shared" si="49"/>
        <v>26927.439911301801</v>
      </c>
      <c r="V420" s="80" cm="1">
        <f t="array" ref="V420">IF($L$2&lt;&gt;1,IRR(IF(ROW($P$36:P420)=ROW(P420),P420+K420+J420,$P$36:P420),V419/12)*12,0)</f>
        <v>8.9219590167939344E-2</v>
      </c>
      <c r="W420" s="83">
        <f>(1+V420/12)^(B420)-1</f>
        <v>16.192370115631565</v>
      </c>
    </row>
    <row r="421" spans="2:23" x14ac:dyDescent="0.25">
      <c r="B421" s="33">
        <v>385</v>
      </c>
      <c r="C421" s="105">
        <f t="shared" ref="C421:C424" si="55">(1+$E$3/360)^30-1-((1+$E$4)^(1/12)-1)</f>
        <v>3.9789301544717048E-3</v>
      </c>
      <c r="D421" s="106">
        <f t="shared" si="50"/>
        <v>0.21678514486649417</v>
      </c>
      <c r="E421" s="60">
        <f>rate</f>
        <v>3.5145930840192463E-3</v>
      </c>
      <c r="F421" s="31">
        <f>IF(AND(B420&gt;=gracia,12*años+gracia-B420&gt;0,$L$2&lt;&gt;1),PMT(E420,12*años-B420+gracia,-J420),0)</f>
        <v>0</v>
      </c>
      <c r="G421" s="31">
        <f>IF(AND(12*años+gracia-B420&gt;0,$L$2&lt;&gt;1),J420*E421,0)</f>
        <v>0</v>
      </c>
      <c r="H421" s="31">
        <f>IF(AND(12*años+gracia-B420&gt;0,$L$2&lt;&gt;1),F421-G421,0)</f>
        <v>0</v>
      </c>
      <c r="I421" s="62"/>
      <c r="J421" s="61">
        <f>J420-H421-I421</f>
        <v>3.5527136788005009E-15</v>
      </c>
      <c r="K421" s="61">
        <f>K420*(1+$J$17)^(1/12)</f>
        <v>30478.554679022611</v>
      </c>
      <c r="L421" s="31">
        <f t="shared" si="51"/>
        <v>16</v>
      </c>
      <c r="M421" s="31">
        <f t="shared" si="52"/>
        <v>-2.6666666666666661</v>
      </c>
      <c r="N421" s="31">
        <f t="shared" si="53"/>
        <v>-2.35</v>
      </c>
      <c r="O421" s="62"/>
      <c r="P421" s="31">
        <f>O421+N421+M421+L421+I421+F421</f>
        <v>10.983333333333334</v>
      </c>
      <c r="Q421" s="31">
        <f>SUM($P$36:P421)</f>
        <v>-4013.7341602260703</v>
      </c>
      <c r="R421" s="83">
        <f t="shared" si="54"/>
        <v>-0.17020809626123895</v>
      </c>
      <c r="S421" s="31">
        <f>SUMPRODUCT($P$36:P421,$D$36:D421)/D421-Q421</f>
        <v>-7106.3285284013482</v>
      </c>
      <c r="T421" s="31">
        <f t="shared" ref="T421:T424" si="56">Q421+J421+K421</f>
        <v>26464.82051879654</v>
      </c>
      <c r="U421" s="31">
        <f t="shared" ref="U421:U424" si="57">IF($L$2&lt;&gt;1,T421+$E$30,T421)</f>
        <v>27086.060518796541</v>
      </c>
      <c r="V421" s="80" cm="1">
        <f t="array" ref="V421">IF($L$2&lt;&gt;1,IRR(IF(ROW($P$36:P421)=ROW(P421),P421+K421+J421,$P$36:P421),V420/12)*12,0)</f>
        <v>8.9133709686229246E-2</v>
      </c>
      <c r="W421" s="83">
        <f>(1+V421/12)^(B421)-1</f>
        <v>16.272888663193847</v>
      </c>
    </row>
    <row r="422" spans="2:23" x14ac:dyDescent="0.25">
      <c r="B422" s="33">
        <v>386</v>
      </c>
      <c r="C422" s="105">
        <f t="shared" si="55"/>
        <v>3.9789301544717048E-3</v>
      </c>
      <c r="D422" s="106">
        <f t="shared" ref="D422:D424" si="58">D421/(1+C422)</f>
        <v>0.21592599043203001</v>
      </c>
      <c r="E422" s="60">
        <f>rate</f>
        <v>3.5145930840192463E-3</v>
      </c>
      <c r="F422" s="31">
        <f>IF(AND(B421&gt;=gracia,12*años+gracia-B421&gt;0,$L$2&lt;&gt;1),PMT(E421,12*años-B421+gracia,-J421),0)</f>
        <v>0</v>
      </c>
      <c r="G422" s="31">
        <f>IF(AND(12*años+gracia-B421&gt;0,$L$2&lt;&gt;1),J421*E422,0)</f>
        <v>0</v>
      </c>
      <c r="H422" s="31">
        <f>IF(AND(12*años+gracia-B421&gt;0,$L$2&lt;&gt;1),F422-G422,0)</f>
        <v>0</v>
      </c>
      <c r="I422" s="62"/>
      <c r="J422" s="61">
        <f>J421-H422-I422</f>
        <v>3.5527136788005009E-15</v>
      </c>
      <c r="K422" s="61">
        <f>K421*(1+$J$17)^(1/12)</f>
        <v>30626.910585081325</v>
      </c>
      <c r="L422" s="31">
        <f t="shared" ref="L422:L424" si="59">IF($L$2=3,$J$7*$J$16,0)</f>
        <v>16</v>
      </c>
      <c r="M422" s="31">
        <f t="shared" ref="M422:M424" si="60">-$J$28</f>
        <v>-2.6666666666666661</v>
      </c>
      <c r="N422" s="31">
        <f t="shared" ref="N422:N424" si="61">IF($L$2&lt;&gt;1,-$E$17-$E$18,0)</f>
        <v>-2.35</v>
      </c>
      <c r="O422" s="62"/>
      <c r="P422" s="31">
        <f>O422+N422+M422+L422+I422+F422</f>
        <v>10.983333333333334</v>
      </c>
      <c r="Q422" s="31">
        <f>SUM($P$36:P422)</f>
        <v>-4002.7508268927372</v>
      </c>
      <c r="R422" s="83">
        <f t="shared" ref="R422:R424" si="62">IF($L$2&lt;&gt;1,-(Q422-$Q$36)/B422*12/$P$36,0)</f>
        <v>-0.16921751483958727</v>
      </c>
      <c r="S422" s="31">
        <f>SUMPRODUCT($P$36:P422,$D$36:D422)/D422-Q422</f>
        <v>-7150.574481152742</v>
      </c>
      <c r="T422" s="31">
        <f t="shared" si="56"/>
        <v>26624.159758188587</v>
      </c>
      <c r="U422" s="31">
        <f t="shared" si="57"/>
        <v>27245.399758188589</v>
      </c>
      <c r="V422" s="80" cm="1">
        <f t="array" ref="V422">IF($L$2&lt;&gt;1,IRR(IF(ROW($P$36:P422)=ROW(P422),P422+K422+J422,$P$36:P422),V421/12)*12,0)</f>
        <v>8.9048332362096083E-2</v>
      </c>
      <c r="W422" s="83">
        <f>(1+V422/12)^(B422)-1</f>
        <v>16.353816213172106</v>
      </c>
    </row>
    <row r="423" spans="2:23" x14ac:dyDescent="0.25">
      <c r="B423" s="33">
        <v>387</v>
      </c>
      <c r="C423" s="105">
        <f t="shared" si="55"/>
        <v>3.9789301544717048E-3</v>
      </c>
      <c r="D423" s="106">
        <f t="shared" si="58"/>
        <v>0.21507024096492516</v>
      </c>
      <c r="E423" s="60">
        <f>rate</f>
        <v>3.5145930840192463E-3</v>
      </c>
      <c r="F423" s="31">
        <f>IF(AND(B422&gt;=gracia,12*años+gracia-B422&gt;0,$L$2&lt;&gt;1),PMT(E422,12*años-B422+gracia,-J422),0)</f>
        <v>0</v>
      </c>
      <c r="G423" s="31">
        <f>IF(AND(12*años+gracia-B422&gt;0,$L$2&lt;&gt;1),J422*E423,0)</f>
        <v>0</v>
      </c>
      <c r="H423" s="31">
        <f>IF(AND(12*años+gracia-B422&gt;0,$L$2&lt;&gt;1),F423-G423,0)</f>
        <v>0</v>
      </c>
      <c r="I423" s="62"/>
      <c r="J423" s="61">
        <f>J422-H423-I423</f>
        <v>3.5527136788005009E-15</v>
      </c>
      <c r="K423" s="61">
        <f>K422*(1+$J$17)^(1/12)</f>
        <v>30775.988621014447</v>
      </c>
      <c r="L423" s="31">
        <f t="shared" si="59"/>
        <v>16</v>
      </c>
      <c r="M423" s="31">
        <f t="shared" si="60"/>
        <v>-2.6666666666666661</v>
      </c>
      <c r="N423" s="31">
        <f t="shared" si="61"/>
        <v>-2.35</v>
      </c>
      <c r="O423" s="62"/>
      <c r="P423" s="31">
        <f>O423+N423+M423+L423+I423+F423</f>
        <v>10.983333333333334</v>
      </c>
      <c r="Q423" s="31">
        <f>SUM($P$36:P423)</f>
        <v>-3991.7674935594041</v>
      </c>
      <c r="R423" s="83">
        <f t="shared" si="62"/>
        <v>-0.16823205270176844</v>
      </c>
      <c r="S423" s="31">
        <f>SUMPRODUCT($P$36:P423,$D$36:D423)/D423-Q423</f>
        <v>-7194.9527835435583</v>
      </c>
      <c r="T423" s="31">
        <f t="shared" si="56"/>
        <v>26784.221127455043</v>
      </c>
      <c r="U423" s="31">
        <f t="shared" si="57"/>
        <v>27405.461127455044</v>
      </c>
      <c r="V423" s="80" cm="1">
        <f t="array" ref="V423">IF($L$2&lt;&gt;1,IRR(IF(ROW($P$36:P423)=ROW(P423),P423+K423+J423,$P$36:P423),V422/12)*12,0)</f>
        <v>8.8963453568939421E-2</v>
      </c>
      <c r="W423" s="83">
        <f>(1+V423/12)^(B423)-1</f>
        <v>16.435154578075128</v>
      </c>
    </row>
    <row r="424" spans="2:23" x14ac:dyDescent="0.25">
      <c r="B424" s="33">
        <v>388</v>
      </c>
      <c r="C424" s="105">
        <f t="shared" si="55"/>
        <v>3.9789301544717048E-3</v>
      </c>
      <c r="D424" s="106">
        <f t="shared" si="58"/>
        <v>0.21421788297074576</v>
      </c>
      <c r="E424" s="60">
        <f>rate</f>
        <v>3.5145930840192463E-3</v>
      </c>
      <c r="F424" s="31">
        <f>IF(AND(B423&gt;=gracia,12*años+gracia-B423&gt;0,$L$2&lt;&gt;1),PMT(E423,12*años-B423+gracia,-J423),0)</f>
        <v>0</v>
      </c>
      <c r="G424" s="31">
        <f>IF(AND(12*años+gracia-B423&gt;0,$L$2&lt;&gt;1),J423*E424,0)</f>
        <v>0</v>
      </c>
      <c r="H424" s="31">
        <f>IF(AND(12*años+gracia-B423&gt;0,$L$2&lt;&gt;1),F424-G424,0)</f>
        <v>0</v>
      </c>
      <c r="I424" s="62"/>
      <c r="J424" s="61">
        <f>J423-H424-I424</f>
        <v>3.5527136788005009E-15</v>
      </c>
      <c r="K424" s="61">
        <f>K423*(1+$J$17)^(1/12)</f>
        <v>30925.792301825655</v>
      </c>
      <c r="L424" s="31">
        <f t="shared" si="59"/>
        <v>16</v>
      </c>
      <c r="M424" s="31">
        <f t="shared" si="60"/>
        <v>-2.6666666666666661</v>
      </c>
      <c r="N424" s="31">
        <f t="shared" si="61"/>
        <v>-2.35</v>
      </c>
      <c r="O424" s="62"/>
      <c r="P424" s="31">
        <f>O424+N424+M424+L424+I424+F424</f>
        <v>10.983333333333334</v>
      </c>
      <c r="Q424" s="31">
        <f>SUM($P$36:P424)</f>
        <v>-3980.784160226071</v>
      </c>
      <c r="R424" s="83">
        <f t="shared" si="62"/>
        <v>-0.16725167026569096</v>
      </c>
      <c r="S424" s="31">
        <f>SUMPRODUCT($P$36:P424,$D$36:D424)/D424-Q424</f>
        <v>-7239.4639621837632</v>
      </c>
      <c r="T424" s="31">
        <f t="shared" si="56"/>
        <v>26945.008141599585</v>
      </c>
      <c r="U424" s="31">
        <f t="shared" si="57"/>
        <v>27566.248141599586</v>
      </c>
      <c r="V424" s="80" cm="1">
        <f t="array" ref="V424">IF($L$2&lt;&gt;1,IRR(IF(ROW($P$36:P424)=ROW(P424),P424+K424+J424,$P$36:P424),V423/12)*12,0)</f>
        <v>8.8879068737630185E-2</v>
      </c>
      <c r="W424" s="83">
        <f>(1+V424/12)^(B424)-1</f>
        <v>16.516905580976644</v>
      </c>
    </row>
    <row r="425" spans="2:23" x14ac:dyDescent="0.25">
      <c r="K425" s="61"/>
      <c r="L425" s="61"/>
    </row>
    <row r="426" spans="2:23" x14ac:dyDescent="0.25">
      <c r="J426" s="61"/>
      <c r="K426" s="61"/>
      <c r="L426" s="61"/>
    </row>
    <row r="427" spans="2:23" x14ac:dyDescent="0.25">
      <c r="J427" s="61"/>
      <c r="K427" s="61"/>
      <c r="L427" s="61"/>
    </row>
    <row r="428" spans="2:23" x14ac:dyDescent="0.25">
      <c r="J428" s="61"/>
      <c r="K428" s="61"/>
      <c r="L428" s="61"/>
    </row>
  </sheetData>
  <mergeCells count="6">
    <mergeCell ref="C34:E34"/>
    <mergeCell ref="J2:K2"/>
    <mergeCell ref="F34:J34"/>
    <mergeCell ref="K34:O34"/>
    <mergeCell ref="P34:S34"/>
    <mergeCell ref="T34:W34"/>
  </mergeCells>
  <dataValidations count="7">
    <dataValidation type="list" allowBlank="1" showInputMessage="1" showErrorMessage="1" sqref="C10:D10" xr:uid="{93B86EE0-2E21-4671-BE8A-FDEA0D0BF187}">
      <formula1>"Tasa Mensual,Tasa Anual"</formula1>
    </dataValidation>
    <dataValidation type="list" allowBlank="1" showInputMessage="1" showErrorMessage="1" sqref="B28" xr:uid="{3EB4DF19-079D-4B8C-8981-F95EE1909FFC}">
      <formula1>"Comision 2%, Comision 1%, Sin Comision"</formula1>
    </dataValidation>
    <dataValidation type="list" allowBlank="1" showInputMessage="1" showErrorMessage="1" sqref="J22" xr:uid="{55A43E37-1EA5-4AEF-AEAE-CEC1B4F68BB8}">
      <formula1>"Casa,Departamento"</formula1>
    </dataValidation>
    <dataValidation type="list" allowBlank="1" showInputMessage="1" showErrorMessage="1" sqref="J23:J24" xr:uid="{DF0D593D-19C6-4B3F-864D-A22500711275}">
      <formula1>"TRUE,FALSE"</formula1>
    </dataValidation>
    <dataValidation type="list" allowBlank="1" showInputMessage="1" showErrorMessage="1" sqref="B10" xr:uid="{960A626E-A348-4699-9AEA-D1D8C6D78358}">
      <formula1>"Tasa Mensual Compuesta Anualizada,Tasa Anual Lineal, Tasa Anual Comp"</formula1>
    </dataValidation>
    <dataValidation type="list" allowBlank="1" showInputMessage="1" showErrorMessage="1" sqref="B21" xr:uid="{E4C1CC1C-CB4D-4522-B3E4-808BBDADB7BA}">
      <formula1>"Gastos Operacionales Totales,Sin Gastos"</formula1>
    </dataValidation>
    <dataValidation type="list" allowBlank="1" showInputMessage="1" showErrorMessage="1" sqref="J2" xr:uid="{5BE843C0-DB3D-4BCF-AA57-9E0101C9C234}">
      <formula1>"Arrendatario,Comprador,Arrendador"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7BC2-BD20-4B97-ABF8-C373ACC4C2DF}">
  <dimension ref="Y5:AB29"/>
  <sheetViews>
    <sheetView showGridLines="0" topLeftCell="O1" workbookViewId="0">
      <selection activeCell="W3" sqref="W3:AB7"/>
    </sheetView>
  </sheetViews>
  <sheetFormatPr defaultRowHeight="15" x14ac:dyDescent="0.25"/>
  <sheetData>
    <row r="5" spans="25:28" x14ac:dyDescent="0.25">
      <c r="Y5" s="81"/>
      <c r="AB5" s="81"/>
    </row>
    <row r="6" spans="25:28" x14ac:dyDescent="0.25">
      <c r="Y6" s="81"/>
      <c r="AA6" s="81"/>
    </row>
    <row r="7" spans="25:28" x14ac:dyDescent="0.25">
      <c r="Y7" s="81"/>
      <c r="AA7" s="81"/>
    </row>
    <row r="8" spans="25:28" x14ac:dyDescent="0.25">
      <c r="Y8" s="81"/>
      <c r="AA8" s="81"/>
    </row>
    <row r="9" spans="25:28" x14ac:dyDescent="0.25">
      <c r="Y9" s="81"/>
      <c r="AA9" s="81"/>
    </row>
    <row r="10" spans="25:28" x14ac:dyDescent="0.25">
      <c r="Y10" s="81"/>
      <c r="AA10" s="81"/>
    </row>
    <row r="11" spans="25:28" x14ac:dyDescent="0.25">
      <c r="Y11" s="81"/>
      <c r="AA11" s="81"/>
    </row>
    <row r="12" spans="25:28" x14ac:dyDescent="0.25">
      <c r="Y12" s="81"/>
      <c r="AA12" s="81"/>
    </row>
    <row r="13" spans="25:28" x14ac:dyDescent="0.25">
      <c r="Y13" s="81"/>
      <c r="AA13" s="81"/>
    </row>
    <row r="14" spans="25:28" x14ac:dyDescent="0.25">
      <c r="Y14" s="81"/>
      <c r="AA14" s="81"/>
    </row>
    <row r="15" spans="25:28" x14ac:dyDescent="0.25">
      <c r="Y15" s="81"/>
      <c r="AA15" s="81"/>
    </row>
    <row r="16" spans="25:28" x14ac:dyDescent="0.25">
      <c r="Y16" s="81"/>
    </row>
    <row r="17" spans="25:25" x14ac:dyDescent="0.25">
      <c r="Y17" s="81"/>
    </row>
    <row r="18" spans="25:25" x14ac:dyDescent="0.25">
      <c r="Y18" s="81"/>
    </row>
    <row r="19" spans="25:25" x14ac:dyDescent="0.25">
      <c r="Y19" s="81"/>
    </row>
    <row r="20" spans="25:25" x14ac:dyDescent="0.25">
      <c r="Y20" s="81"/>
    </row>
    <row r="21" spans="25:25" x14ac:dyDescent="0.25">
      <c r="Y21" s="81"/>
    </row>
    <row r="22" spans="25:25" x14ac:dyDescent="0.25">
      <c r="Y22" s="81"/>
    </row>
    <row r="23" spans="25:25" x14ac:dyDescent="0.25">
      <c r="Y23" s="81"/>
    </row>
    <row r="24" spans="25:25" x14ac:dyDescent="0.25">
      <c r="Y24" s="81"/>
    </row>
    <row r="25" spans="25:25" x14ac:dyDescent="0.25">
      <c r="Y25" s="81"/>
    </row>
    <row r="26" spans="25:25" x14ac:dyDescent="0.25">
      <c r="Y26" s="81"/>
    </row>
    <row r="27" spans="25:25" x14ac:dyDescent="0.25">
      <c r="Y27" s="81"/>
    </row>
    <row r="28" spans="25:25" x14ac:dyDescent="0.25">
      <c r="Y28" s="81"/>
    </row>
    <row r="29" spans="25:25" x14ac:dyDescent="0.25">
      <c r="Y29" s="8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Hoja1</vt:lpstr>
      <vt:lpstr>Notes</vt:lpstr>
      <vt:lpstr>años</vt:lpstr>
      <vt:lpstr>gracia</vt:lpstr>
      <vt:lpstr>P0</vt:lpstr>
      <vt:lpstr>pie</vt:lpstr>
      <vt:lpstr>plusvalia</vt:lpstr>
      <vt:lpstr>rate</vt:lpstr>
      <vt:lpstr>valor_compra</vt:lpstr>
    </vt:vector>
  </TitlesOfParts>
  <Company>Banco Santander Chile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Cubillos Cabrera</dc:creator>
  <cp:lastModifiedBy>Matías Cubillos</cp:lastModifiedBy>
  <dcterms:created xsi:type="dcterms:W3CDTF">2024-05-15T12:56:44Z</dcterms:created>
  <dcterms:modified xsi:type="dcterms:W3CDTF">2024-09-20T02:19:46Z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2024-05-15T15:23:07Z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a04748e5-bb16-4c5d-bd61-06a85971bb12</vt:lpwstr>
  </property>
  <property fmtid="{D5CDD505-2E9C-101B-9397-08002B2CF9AE}" pid="8" name="MSIP_Label_0c2abd79-57a9-4473-8700-c843f76a1e37_ContentBits">
    <vt:lpwstr>0</vt:lpwstr>
  </property>
</Properties>
</file>