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3ba9fcceb20fee/Desktop/finanzas/"/>
    </mc:Choice>
  </mc:AlternateContent>
  <xr:revisionPtr revIDLastSave="3519" documentId="13_ncr:1_{F08F0592-CECA-4794-AC28-FFBEA4A17551}" xr6:coauthVersionLast="47" xr6:coauthVersionMax="47" xr10:uidLastSave="{E41CFC41-B157-41B6-BDF9-65E14A769DD1}"/>
  <bookViews>
    <workbookView xWindow="-110" yWindow="-110" windowWidth="19420" windowHeight="10300" xr2:uid="{A1423B47-5EEB-4E23-806E-388121902BC3}"/>
  </bookViews>
  <sheets>
    <sheet name="Simulación" sheetId="2" r:id="rId1"/>
    <sheet name="Notes" sheetId="3" r:id="rId2"/>
  </sheets>
  <definedNames>
    <definedName name="años">Simulación!$E$9</definedName>
    <definedName name="gracia">Simulación!$E$11</definedName>
    <definedName name="P0">Simulación!$E$12</definedName>
    <definedName name="pie">Simulación!$E$8</definedName>
    <definedName name="plusvalia">Simulación!$J$17</definedName>
    <definedName name="rate">Simulación!$E$13</definedName>
    <definedName name="valor_compra">Simulación!$E$7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28" i="2"/>
  <c r="L2" i="2"/>
  <c r="P36" i="2"/>
  <c r="J36" i="2"/>
  <c r="Q36" i="2"/>
  <c r="O37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E8" i="2"/>
  <c r="E12" i="2"/>
  <c r="K36" i="2"/>
  <c r="E13" i="2"/>
  <c r="F36" i="2"/>
  <c r="G37" i="2"/>
  <c r="F37" i="2"/>
  <c r="H37" i="2"/>
  <c r="I37" i="2"/>
  <c r="K37" i="2"/>
  <c r="G38" i="2"/>
  <c r="F38" i="2"/>
  <c r="H38" i="2"/>
  <c r="I38" i="2"/>
  <c r="K38" i="2"/>
  <c r="G39" i="2"/>
  <c r="F39" i="2"/>
  <c r="H39" i="2"/>
  <c r="I39" i="2"/>
  <c r="K39" i="2"/>
  <c r="G40" i="2"/>
  <c r="F40" i="2"/>
  <c r="H40" i="2"/>
  <c r="I40" i="2"/>
  <c r="K40" i="2"/>
  <c r="G41" i="2"/>
  <c r="F41" i="2"/>
  <c r="H41" i="2"/>
  <c r="I41" i="2"/>
  <c r="K41" i="2"/>
  <c r="G42" i="2"/>
  <c r="F42" i="2"/>
  <c r="H42" i="2"/>
  <c r="I42" i="2"/>
  <c r="K42" i="2"/>
  <c r="G43" i="2"/>
  <c r="F43" i="2"/>
  <c r="H43" i="2"/>
  <c r="I43" i="2"/>
  <c r="K43" i="2"/>
  <c r="G44" i="2"/>
  <c r="F44" i="2"/>
  <c r="H44" i="2"/>
  <c r="I44" i="2"/>
  <c r="K44" i="2"/>
  <c r="G45" i="2"/>
  <c r="F45" i="2"/>
  <c r="H45" i="2"/>
  <c r="I45" i="2"/>
  <c r="K45" i="2"/>
  <c r="G46" i="2"/>
  <c r="F46" i="2"/>
  <c r="H46" i="2"/>
  <c r="I46" i="2"/>
  <c r="K46" i="2"/>
  <c r="G47" i="2"/>
  <c r="F47" i="2"/>
  <c r="H47" i="2"/>
  <c r="I47" i="2"/>
  <c r="K47" i="2"/>
  <c r="G48" i="2"/>
  <c r="F48" i="2"/>
  <c r="H48" i="2"/>
  <c r="I48" i="2"/>
  <c r="K48" i="2"/>
  <c r="G49" i="2"/>
  <c r="F49" i="2"/>
  <c r="H49" i="2"/>
  <c r="I49" i="2"/>
  <c r="K49" i="2"/>
  <c r="G50" i="2"/>
  <c r="F50" i="2"/>
  <c r="H50" i="2"/>
  <c r="I50" i="2"/>
  <c r="K50" i="2"/>
  <c r="G51" i="2"/>
  <c r="F51" i="2"/>
  <c r="H51" i="2"/>
  <c r="I51" i="2"/>
  <c r="K51" i="2"/>
  <c r="G52" i="2"/>
  <c r="F52" i="2"/>
  <c r="H52" i="2"/>
  <c r="I52" i="2"/>
  <c r="K52" i="2"/>
  <c r="G53" i="2"/>
  <c r="F53" i="2"/>
  <c r="H53" i="2"/>
  <c r="I53" i="2"/>
  <c r="K53" i="2"/>
  <c r="G54" i="2"/>
  <c r="F54" i="2"/>
  <c r="H54" i="2"/>
  <c r="I54" i="2"/>
  <c r="K54" i="2"/>
  <c r="G55" i="2"/>
  <c r="F55" i="2"/>
  <c r="H55" i="2"/>
  <c r="I55" i="2"/>
  <c r="K55" i="2"/>
  <c r="G56" i="2"/>
  <c r="F56" i="2"/>
  <c r="H56" i="2"/>
  <c r="I56" i="2"/>
  <c r="K56" i="2"/>
  <c r="G57" i="2"/>
  <c r="F57" i="2"/>
  <c r="H57" i="2"/>
  <c r="I57" i="2"/>
  <c r="K57" i="2"/>
  <c r="G58" i="2"/>
  <c r="F58" i="2"/>
  <c r="H58" i="2"/>
  <c r="I58" i="2"/>
  <c r="K58" i="2"/>
  <c r="G59" i="2"/>
  <c r="F59" i="2"/>
  <c r="H59" i="2"/>
  <c r="I59" i="2"/>
  <c r="K59" i="2"/>
  <c r="G60" i="2"/>
  <c r="H60" i="2"/>
  <c r="I60" i="2"/>
  <c r="K60" i="2"/>
  <c r="G61" i="2"/>
  <c r="H61" i="2"/>
  <c r="I61" i="2"/>
  <c r="K61" i="2"/>
  <c r="G62" i="2"/>
  <c r="H62" i="2"/>
  <c r="I62" i="2"/>
  <c r="K62" i="2"/>
  <c r="G63" i="2"/>
  <c r="H63" i="2"/>
  <c r="I63" i="2"/>
  <c r="K63" i="2"/>
  <c r="G64" i="2"/>
  <c r="H64" i="2"/>
  <c r="I64" i="2"/>
  <c r="K64" i="2"/>
  <c r="G65" i="2"/>
  <c r="H65" i="2"/>
  <c r="I65" i="2"/>
  <c r="K65" i="2"/>
  <c r="G66" i="2"/>
  <c r="H66" i="2"/>
  <c r="I66" i="2"/>
  <c r="K66" i="2"/>
  <c r="G67" i="2"/>
  <c r="H67" i="2"/>
  <c r="I67" i="2"/>
  <c r="K67" i="2"/>
  <c r="G68" i="2"/>
  <c r="H68" i="2"/>
  <c r="I68" i="2"/>
  <c r="K68" i="2"/>
  <c r="G69" i="2"/>
  <c r="H69" i="2"/>
  <c r="I69" i="2"/>
  <c r="K69" i="2"/>
  <c r="G70" i="2"/>
  <c r="H70" i="2"/>
  <c r="I70" i="2"/>
  <c r="K70" i="2"/>
  <c r="G71" i="2"/>
  <c r="H71" i="2"/>
  <c r="I71" i="2"/>
  <c r="K71" i="2"/>
  <c r="G72" i="2"/>
  <c r="H72" i="2"/>
  <c r="I72" i="2"/>
  <c r="K72" i="2"/>
  <c r="G73" i="2"/>
  <c r="H73" i="2"/>
  <c r="I73" i="2"/>
  <c r="K73" i="2"/>
  <c r="G74" i="2"/>
  <c r="H74" i="2"/>
  <c r="I74" i="2"/>
  <c r="K74" i="2"/>
  <c r="G75" i="2"/>
  <c r="H75" i="2"/>
  <c r="I75" i="2"/>
  <c r="K75" i="2"/>
  <c r="G76" i="2"/>
  <c r="H76" i="2"/>
  <c r="I76" i="2"/>
  <c r="K76" i="2"/>
  <c r="G77" i="2"/>
  <c r="H77" i="2"/>
  <c r="I77" i="2"/>
  <c r="K77" i="2"/>
  <c r="G78" i="2"/>
  <c r="H78" i="2"/>
  <c r="I78" i="2"/>
  <c r="K78" i="2"/>
  <c r="G79" i="2"/>
  <c r="H79" i="2"/>
  <c r="I79" i="2"/>
  <c r="K79" i="2"/>
  <c r="G80" i="2"/>
  <c r="H80" i="2"/>
  <c r="I80" i="2"/>
  <c r="K80" i="2"/>
  <c r="G81" i="2"/>
  <c r="H81" i="2"/>
  <c r="I81" i="2"/>
  <c r="K81" i="2"/>
  <c r="G82" i="2"/>
  <c r="H82" i="2"/>
  <c r="I82" i="2"/>
  <c r="K82" i="2"/>
  <c r="G83" i="2"/>
  <c r="H83" i="2"/>
  <c r="I83" i="2"/>
  <c r="K83" i="2"/>
  <c r="G84" i="2"/>
  <c r="H84" i="2"/>
  <c r="I84" i="2"/>
  <c r="K84" i="2"/>
  <c r="G85" i="2"/>
  <c r="H85" i="2"/>
  <c r="I85" i="2"/>
  <c r="K85" i="2"/>
  <c r="G86" i="2"/>
  <c r="H86" i="2"/>
  <c r="I86" i="2"/>
  <c r="K86" i="2"/>
  <c r="G87" i="2"/>
  <c r="H87" i="2"/>
  <c r="I87" i="2"/>
  <c r="K87" i="2"/>
  <c r="G88" i="2"/>
  <c r="H88" i="2"/>
  <c r="I88" i="2"/>
  <c r="K88" i="2"/>
  <c r="G89" i="2"/>
  <c r="H89" i="2"/>
  <c r="I89" i="2"/>
  <c r="K89" i="2"/>
  <c r="G90" i="2"/>
  <c r="H90" i="2"/>
  <c r="I90" i="2"/>
  <c r="K90" i="2"/>
  <c r="G91" i="2"/>
  <c r="H91" i="2"/>
  <c r="I91" i="2"/>
  <c r="K91" i="2"/>
  <c r="G92" i="2"/>
  <c r="H92" i="2"/>
  <c r="I92" i="2"/>
  <c r="K92" i="2"/>
  <c r="G93" i="2"/>
  <c r="H93" i="2"/>
  <c r="I93" i="2"/>
  <c r="K93" i="2"/>
  <c r="G94" i="2"/>
  <c r="H94" i="2"/>
  <c r="I94" i="2"/>
  <c r="K94" i="2"/>
  <c r="G95" i="2"/>
  <c r="H95" i="2"/>
  <c r="I95" i="2"/>
  <c r="K95" i="2"/>
  <c r="G96" i="2"/>
  <c r="H96" i="2"/>
  <c r="I96" i="2"/>
  <c r="K96" i="2"/>
  <c r="G97" i="2"/>
  <c r="H97" i="2"/>
  <c r="I97" i="2"/>
  <c r="K97" i="2"/>
  <c r="G98" i="2"/>
  <c r="H98" i="2"/>
  <c r="I98" i="2"/>
  <c r="K98" i="2"/>
  <c r="G99" i="2"/>
  <c r="H99" i="2"/>
  <c r="I99" i="2"/>
  <c r="K99" i="2"/>
  <c r="G100" i="2"/>
  <c r="H100" i="2"/>
  <c r="I100" i="2"/>
  <c r="K100" i="2"/>
  <c r="G101" i="2"/>
  <c r="H101" i="2"/>
  <c r="I101" i="2"/>
  <c r="K101" i="2"/>
  <c r="G102" i="2"/>
  <c r="H102" i="2"/>
  <c r="I102" i="2"/>
  <c r="K102" i="2"/>
  <c r="G103" i="2"/>
  <c r="H103" i="2"/>
  <c r="I103" i="2"/>
  <c r="K103" i="2"/>
  <c r="G104" i="2"/>
  <c r="H104" i="2"/>
  <c r="I104" i="2"/>
  <c r="K104" i="2"/>
  <c r="G105" i="2"/>
  <c r="H105" i="2"/>
  <c r="I105" i="2"/>
  <c r="K105" i="2"/>
  <c r="G106" i="2"/>
  <c r="H106" i="2"/>
  <c r="I106" i="2"/>
  <c r="K106" i="2"/>
  <c r="G107" i="2"/>
  <c r="H107" i="2"/>
  <c r="I107" i="2"/>
  <c r="K107" i="2"/>
  <c r="G108" i="2"/>
  <c r="H108" i="2"/>
  <c r="I108" i="2"/>
  <c r="K108" i="2"/>
  <c r="G109" i="2"/>
  <c r="H109" i="2"/>
  <c r="I109" i="2"/>
  <c r="K109" i="2"/>
  <c r="G110" i="2"/>
  <c r="H110" i="2"/>
  <c r="I110" i="2"/>
  <c r="K110" i="2"/>
  <c r="G111" i="2"/>
  <c r="H111" i="2"/>
  <c r="I111" i="2"/>
  <c r="K111" i="2"/>
  <c r="G112" i="2"/>
  <c r="H112" i="2"/>
  <c r="I112" i="2"/>
  <c r="K112" i="2"/>
  <c r="G113" i="2"/>
  <c r="H113" i="2"/>
  <c r="I113" i="2"/>
  <c r="K113" i="2"/>
  <c r="G114" i="2"/>
  <c r="H114" i="2"/>
  <c r="I114" i="2"/>
  <c r="K114" i="2"/>
  <c r="G115" i="2"/>
  <c r="H115" i="2"/>
  <c r="I115" i="2"/>
  <c r="K115" i="2"/>
  <c r="G116" i="2"/>
  <c r="H116" i="2"/>
  <c r="I116" i="2"/>
  <c r="K116" i="2"/>
  <c r="G117" i="2"/>
  <c r="H117" i="2"/>
  <c r="I117" i="2"/>
  <c r="K117" i="2"/>
  <c r="G118" i="2"/>
  <c r="H118" i="2"/>
  <c r="I118" i="2"/>
  <c r="K118" i="2"/>
  <c r="G119" i="2"/>
  <c r="H119" i="2"/>
  <c r="I119" i="2"/>
  <c r="K119" i="2"/>
  <c r="G120" i="2"/>
  <c r="H120" i="2"/>
  <c r="I120" i="2"/>
  <c r="K120" i="2"/>
  <c r="G121" i="2"/>
  <c r="H121" i="2"/>
  <c r="I121" i="2"/>
  <c r="K121" i="2"/>
  <c r="G122" i="2"/>
  <c r="H122" i="2"/>
  <c r="I122" i="2"/>
  <c r="K122" i="2"/>
  <c r="G123" i="2"/>
  <c r="H123" i="2"/>
  <c r="I123" i="2"/>
  <c r="K123" i="2"/>
  <c r="G124" i="2"/>
  <c r="H124" i="2"/>
  <c r="I124" i="2"/>
  <c r="K124" i="2"/>
  <c r="G125" i="2"/>
  <c r="H125" i="2"/>
  <c r="I125" i="2"/>
  <c r="K125" i="2"/>
  <c r="G126" i="2"/>
  <c r="H126" i="2"/>
  <c r="I126" i="2"/>
  <c r="K126" i="2"/>
  <c r="G127" i="2"/>
  <c r="H127" i="2"/>
  <c r="I127" i="2"/>
  <c r="K127" i="2"/>
  <c r="G128" i="2"/>
  <c r="H128" i="2"/>
  <c r="I128" i="2"/>
  <c r="K128" i="2"/>
  <c r="G129" i="2"/>
  <c r="H129" i="2"/>
  <c r="I129" i="2"/>
  <c r="K129" i="2"/>
  <c r="G130" i="2"/>
  <c r="H130" i="2"/>
  <c r="I130" i="2"/>
  <c r="K130" i="2"/>
  <c r="G131" i="2"/>
  <c r="H131" i="2"/>
  <c r="I131" i="2"/>
  <c r="K131" i="2"/>
  <c r="G132" i="2"/>
  <c r="H132" i="2"/>
  <c r="I132" i="2"/>
  <c r="K132" i="2"/>
  <c r="G133" i="2"/>
  <c r="H133" i="2"/>
  <c r="I133" i="2"/>
  <c r="K133" i="2"/>
  <c r="G134" i="2"/>
  <c r="H134" i="2"/>
  <c r="I134" i="2"/>
  <c r="K134" i="2"/>
  <c r="G135" i="2"/>
  <c r="H135" i="2"/>
  <c r="I135" i="2"/>
  <c r="K135" i="2"/>
  <c r="G136" i="2"/>
  <c r="H136" i="2"/>
  <c r="I136" i="2"/>
  <c r="K136" i="2"/>
  <c r="G137" i="2"/>
  <c r="H137" i="2"/>
  <c r="I137" i="2"/>
  <c r="K137" i="2"/>
  <c r="G138" i="2"/>
  <c r="H138" i="2"/>
  <c r="I138" i="2"/>
  <c r="K138" i="2"/>
  <c r="G139" i="2"/>
  <c r="H139" i="2"/>
  <c r="I139" i="2"/>
  <c r="K139" i="2"/>
  <c r="G140" i="2"/>
  <c r="H140" i="2"/>
  <c r="I140" i="2"/>
  <c r="K140" i="2"/>
  <c r="G141" i="2"/>
  <c r="H141" i="2"/>
  <c r="I141" i="2"/>
  <c r="K141" i="2"/>
  <c r="G142" i="2"/>
  <c r="H142" i="2"/>
  <c r="I142" i="2"/>
  <c r="K142" i="2"/>
  <c r="G143" i="2"/>
  <c r="H143" i="2"/>
  <c r="I143" i="2"/>
  <c r="K143" i="2"/>
  <c r="G144" i="2"/>
  <c r="H144" i="2"/>
  <c r="I144" i="2"/>
  <c r="K144" i="2"/>
  <c r="G145" i="2"/>
  <c r="H145" i="2"/>
  <c r="I145" i="2"/>
  <c r="K145" i="2"/>
  <c r="G146" i="2"/>
  <c r="H146" i="2"/>
  <c r="I146" i="2"/>
  <c r="K146" i="2"/>
  <c r="G147" i="2"/>
  <c r="H147" i="2"/>
  <c r="I147" i="2"/>
  <c r="K147" i="2"/>
  <c r="G148" i="2"/>
  <c r="H148" i="2"/>
  <c r="I148" i="2"/>
  <c r="K148" i="2"/>
  <c r="G149" i="2"/>
  <c r="H149" i="2"/>
  <c r="I149" i="2"/>
  <c r="K149" i="2"/>
  <c r="G150" i="2"/>
  <c r="H150" i="2"/>
  <c r="I150" i="2"/>
  <c r="K150" i="2"/>
  <c r="G151" i="2"/>
  <c r="H151" i="2"/>
  <c r="I151" i="2"/>
  <c r="K151" i="2"/>
  <c r="G152" i="2"/>
  <c r="H152" i="2"/>
  <c r="I152" i="2"/>
  <c r="K152" i="2"/>
  <c r="G153" i="2"/>
  <c r="H153" i="2"/>
  <c r="I153" i="2"/>
  <c r="K153" i="2"/>
  <c r="G154" i="2"/>
  <c r="H154" i="2"/>
  <c r="I154" i="2"/>
  <c r="K154" i="2"/>
  <c r="G155" i="2"/>
  <c r="H155" i="2"/>
  <c r="I155" i="2"/>
  <c r="K155" i="2"/>
  <c r="G156" i="2"/>
  <c r="H156" i="2"/>
  <c r="I156" i="2"/>
  <c r="K156" i="2"/>
  <c r="G157" i="2"/>
  <c r="H157" i="2"/>
  <c r="I157" i="2"/>
  <c r="K157" i="2"/>
  <c r="G158" i="2"/>
  <c r="H158" i="2"/>
  <c r="I158" i="2"/>
  <c r="K158" i="2"/>
  <c r="G159" i="2"/>
  <c r="H159" i="2"/>
  <c r="I159" i="2"/>
  <c r="K159" i="2"/>
  <c r="G160" i="2"/>
  <c r="H160" i="2"/>
  <c r="I160" i="2"/>
  <c r="K160" i="2"/>
  <c r="G161" i="2"/>
  <c r="H161" i="2"/>
  <c r="I161" i="2"/>
  <c r="K161" i="2"/>
  <c r="G162" i="2"/>
  <c r="H162" i="2"/>
  <c r="I162" i="2"/>
  <c r="K162" i="2"/>
  <c r="G163" i="2"/>
  <c r="H163" i="2"/>
  <c r="I163" i="2"/>
  <c r="K163" i="2"/>
  <c r="G164" i="2"/>
  <c r="H164" i="2"/>
  <c r="I164" i="2"/>
  <c r="K164" i="2"/>
  <c r="G165" i="2"/>
  <c r="H165" i="2"/>
  <c r="I165" i="2"/>
  <c r="K165" i="2"/>
  <c r="G166" i="2"/>
  <c r="H166" i="2"/>
  <c r="I166" i="2"/>
  <c r="K166" i="2"/>
  <c r="G167" i="2"/>
  <c r="H167" i="2"/>
  <c r="I167" i="2"/>
  <c r="K167" i="2"/>
  <c r="G168" i="2"/>
  <c r="H168" i="2"/>
  <c r="I168" i="2"/>
  <c r="K168" i="2"/>
  <c r="G169" i="2"/>
  <c r="H169" i="2"/>
  <c r="I169" i="2"/>
  <c r="K169" i="2"/>
  <c r="G170" i="2"/>
  <c r="H170" i="2"/>
  <c r="I170" i="2"/>
  <c r="K170" i="2"/>
  <c r="G171" i="2"/>
  <c r="H171" i="2"/>
  <c r="I171" i="2"/>
  <c r="K171" i="2"/>
  <c r="G172" i="2"/>
  <c r="H172" i="2"/>
  <c r="I172" i="2"/>
  <c r="K172" i="2"/>
  <c r="G173" i="2"/>
  <c r="H173" i="2"/>
  <c r="I173" i="2"/>
  <c r="K173" i="2"/>
  <c r="G174" i="2"/>
  <c r="H174" i="2"/>
  <c r="I174" i="2"/>
  <c r="K174" i="2"/>
  <c r="G175" i="2"/>
  <c r="H175" i="2"/>
  <c r="I175" i="2"/>
  <c r="K175" i="2"/>
  <c r="G176" i="2"/>
  <c r="H176" i="2"/>
  <c r="I176" i="2"/>
  <c r="K176" i="2"/>
  <c r="G177" i="2"/>
  <c r="H177" i="2"/>
  <c r="I177" i="2"/>
  <c r="K177" i="2"/>
  <c r="G178" i="2"/>
  <c r="H178" i="2"/>
  <c r="I178" i="2"/>
  <c r="K178" i="2"/>
  <c r="G179" i="2"/>
  <c r="H179" i="2"/>
  <c r="I179" i="2"/>
  <c r="K179" i="2"/>
  <c r="G180" i="2"/>
  <c r="H180" i="2"/>
  <c r="I180" i="2"/>
  <c r="K180" i="2"/>
  <c r="G181" i="2"/>
  <c r="H181" i="2"/>
  <c r="I181" i="2"/>
  <c r="K181" i="2"/>
  <c r="G182" i="2"/>
  <c r="H182" i="2"/>
  <c r="I182" i="2"/>
  <c r="K182" i="2"/>
  <c r="G183" i="2"/>
  <c r="H183" i="2"/>
  <c r="I183" i="2"/>
  <c r="K183" i="2"/>
  <c r="G184" i="2"/>
  <c r="H184" i="2"/>
  <c r="I184" i="2"/>
  <c r="K184" i="2"/>
  <c r="G185" i="2"/>
  <c r="H185" i="2"/>
  <c r="I185" i="2"/>
  <c r="K185" i="2"/>
  <c r="G186" i="2"/>
  <c r="H186" i="2"/>
  <c r="I186" i="2"/>
  <c r="K186" i="2"/>
  <c r="G187" i="2"/>
  <c r="H187" i="2"/>
  <c r="I187" i="2"/>
  <c r="K187" i="2"/>
  <c r="G188" i="2"/>
  <c r="H188" i="2"/>
  <c r="I188" i="2"/>
  <c r="K188" i="2"/>
  <c r="G189" i="2"/>
  <c r="H189" i="2"/>
  <c r="I189" i="2"/>
  <c r="K189" i="2"/>
  <c r="G190" i="2"/>
  <c r="H190" i="2"/>
  <c r="I190" i="2"/>
  <c r="K190" i="2"/>
  <c r="G191" i="2"/>
  <c r="H191" i="2"/>
  <c r="I191" i="2"/>
  <c r="K191" i="2"/>
  <c r="G192" i="2"/>
  <c r="H192" i="2"/>
  <c r="I192" i="2"/>
  <c r="K192" i="2"/>
  <c r="G193" i="2"/>
  <c r="H193" i="2"/>
  <c r="I193" i="2"/>
  <c r="K193" i="2"/>
  <c r="G194" i="2"/>
  <c r="H194" i="2"/>
  <c r="I194" i="2"/>
  <c r="K194" i="2"/>
  <c r="G195" i="2"/>
  <c r="H195" i="2"/>
  <c r="I195" i="2"/>
  <c r="K195" i="2"/>
  <c r="G196" i="2"/>
  <c r="H196" i="2"/>
  <c r="I196" i="2"/>
  <c r="K196" i="2"/>
  <c r="G197" i="2"/>
  <c r="H197" i="2"/>
  <c r="I197" i="2"/>
  <c r="K197" i="2"/>
  <c r="G198" i="2"/>
  <c r="H198" i="2"/>
  <c r="I198" i="2"/>
  <c r="K198" i="2"/>
  <c r="G199" i="2"/>
  <c r="H199" i="2"/>
  <c r="I199" i="2"/>
  <c r="K199" i="2"/>
  <c r="G200" i="2"/>
  <c r="H200" i="2"/>
  <c r="I200" i="2"/>
  <c r="K200" i="2"/>
  <c r="G201" i="2"/>
  <c r="H201" i="2"/>
  <c r="I201" i="2"/>
  <c r="K201" i="2"/>
  <c r="G202" i="2"/>
  <c r="H202" i="2"/>
  <c r="I202" i="2"/>
  <c r="K202" i="2"/>
  <c r="G203" i="2"/>
  <c r="H203" i="2"/>
  <c r="I203" i="2"/>
  <c r="K203" i="2"/>
  <c r="G204" i="2"/>
  <c r="H204" i="2"/>
  <c r="I204" i="2"/>
  <c r="K204" i="2"/>
  <c r="G205" i="2"/>
  <c r="H205" i="2"/>
  <c r="I205" i="2"/>
  <c r="K205" i="2"/>
  <c r="G206" i="2"/>
  <c r="H206" i="2"/>
  <c r="I206" i="2"/>
  <c r="K206" i="2"/>
  <c r="G207" i="2"/>
  <c r="H207" i="2"/>
  <c r="I207" i="2"/>
  <c r="K207" i="2"/>
  <c r="G208" i="2"/>
  <c r="H208" i="2"/>
  <c r="I208" i="2"/>
  <c r="K208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O7" i="2" a="1"/>
  <c r="O7" i="2"/>
  <c r="E26" i="2"/>
  <c r="E27" i="2"/>
  <c r="E17" i="2"/>
  <c r="E18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36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R36" i="2"/>
  <c r="U36" i="2"/>
  <c r="G209" i="2"/>
  <c r="H209" i="2"/>
  <c r="I209" i="2"/>
  <c r="K209" i="2"/>
  <c r="G210" i="2"/>
  <c r="H210" i="2"/>
  <c r="I210" i="2"/>
  <c r="K210" i="2"/>
  <c r="G211" i="2"/>
  <c r="H211" i="2"/>
  <c r="I211" i="2"/>
  <c r="K211" i="2"/>
  <c r="G212" i="2"/>
  <c r="H212" i="2"/>
  <c r="I212" i="2"/>
  <c r="K212" i="2"/>
  <c r="G213" i="2"/>
  <c r="H213" i="2"/>
  <c r="I213" i="2"/>
  <c r="K213" i="2"/>
  <c r="G214" i="2"/>
  <c r="H214" i="2"/>
  <c r="I214" i="2"/>
  <c r="K214" i="2"/>
  <c r="G215" i="2"/>
  <c r="H215" i="2"/>
  <c r="I215" i="2"/>
  <c r="K215" i="2"/>
  <c r="G216" i="2"/>
  <c r="H216" i="2"/>
  <c r="I216" i="2"/>
  <c r="K216" i="2"/>
  <c r="G217" i="2"/>
  <c r="H217" i="2"/>
  <c r="I217" i="2"/>
  <c r="K217" i="2"/>
  <c r="G218" i="2"/>
  <c r="H218" i="2"/>
  <c r="I218" i="2"/>
  <c r="K218" i="2"/>
  <c r="G219" i="2"/>
  <c r="H219" i="2"/>
  <c r="I219" i="2"/>
  <c r="K219" i="2"/>
  <c r="G220" i="2"/>
  <c r="H220" i="2"/>
  <c r="I220" i="2"/>
  <c r="K220" i="2"/>
  <c r="G221" i="2"/>
  <c r="H221" i="2"/>
  <c r="I221" i="2"/>
  <c r="K221" i="2"/>
  <c r="G222" i="2"/>
  <c r="H222" i="2"/>
  <c r="I222" i="2"/>
  <c r="K222" i="2"/>
  <c r="G223" i="2"/>
  <c r="H223" i="2"/>
  <c r="I223" i="2"/>
  <c r="K223" i="2"/>
  <c r="G224" i="2"/>
  <c r="H224" i="2"/>
  <c r="I224" i="2"/>
  <c r="K224" i="2"/>
  <c r="G225" i="2"/>
  <c r="H225" i="2"/>
  <c r="I225" i="2"/>
  <c r="K225" i="2"/>
  <c r="G226" i="2"/>
  <c r="H226" i="2"/>
  <c r="I226" i="2"/>
  <c r="K226" i="2"/>
  <c r="G227" i="2"/>
  <c r="H227" i="2"/>
  <c r="I227" i="2"/>
  <c r="K227" i="2"/>
  <c r="G228" i="2"/>
  <c r="H228" i="2"/>
  <c r="I228" i="2"/>
  <c r="K228" i="2"/>
  <c r="G229" i="2"/>
  <c r="H229" i="2"/>
  <c r="I229" i="2"/>
  <c r="K229" i="2"/>
  <c r="G230" i="2"/>
  <c r="H230" i="2"/>
  <c r="I230" i="2"/>
  <c r="K230" i="2"/>
  <c r="G231" i="2"/>
  <c r="H231" i="2"/>
  <c r="I231" i="2"/>
  <c r="K231" i="2"/>
  <c r="G232" i="2"/>
  <c r="H232" i="2"/>
  <c r="I232" i="2"/>
  <c r="K232" i="2"/>
  <c r="G233" i="2"/>
  <c r="H233" i="2"/>
  <c r="I233" i="2"/>
  <c r="K233" i="2"/>
  <c r="G234" i="2"/>
  <c r="H234" i="2"/>
  <c r="I234" i="2"/>
  <c r="K234" i="2"/>
  <c r="G235" i="2"/>
  <c r="H235" i="2"/>
  <c r="I235" i="2"/>
  <c r="K235" i="2"/>
  <c r="G236" i="2"/>
  <c r="H236" i="2"/>
  <c r="I236" i="2"/>
  <c r="K236" i="2"/>
  <c r="G237" i="2"/>
  <c r="H237" i="2"/>
  <c r="I237" i="2"/>
  <c r="K237" i="2"/>
  <c r="G238" i="2"/>
  <c r="H238" i="2"/>
  <c r="I238" i="2"/>
  <c r="K238" i="2"/>
  <c r="G239" i="2"/>
  <c r="H239" i="2"/>
  <c r="I239" i="2"/>
  <c r="K239" i="2"/>
  <c r="G240" i="2"/>
  <c r="H240" i="2"/>
  <c r="I240" i="2"/>
  <c r="K240" i="2"/>
  <c r="G241" i="2"/>
  <c r="H241" i="2"/>
  <c r="I241" i="2"/>
  <c r="K241" i="2"/>
  <c r="G242" i="2"/>
  <c r="H242" i="2"/>
  <c r="I242" i="2"/>
  <c r="K242" i="2"/>
  <c r="G243" i="2"/>
  <c r="H243" i="2"/>
  <c r="I243" i="2"/>
  <c r="K243" i="2"/>
  <c r="G244" i="2"/>
  <c r="H244" i="2"/>
  <c r="I244" i="2"/>
  <c r="K244" i="2"/>
  <c r="G245" i="2"/>
  <c r="H245" i="2"/>
  <c r="I245" i="2"/>
  <c r="K245" i="2"/>
  <c r="G246" i="2"/>
  <c r="H246" i="2"/>
  <c r="I246" i="2"/>
  <c r="K246" i="2"/>
  <c r="G247" i="2"/>
  <c r="H247" i="2"/>
  <c r="I247" i="2"/>
  <c r="K247" i="2"/>
  <c r="G248" i="2"/>
  <c r="H248" i="2"/>
  <c r="I248" i="2"/>
  <c r="K248" i="2"/>
  <c r="G249" i="2"/>
  <c r="H249" i="2"/>
  <c r="I249" i="2"/>
  <c r="K249" i="2"/>
  <c r="G250" i="2"/>
  <c r="H250" i="2"/>
  <c r="I250" i="2"/>
  <c r="K250" i="2"/>
  <c r="G251" i="2"/>
  <c r="H251" i="2"/>
  <c r="I251" i="2"/>
  <c r="K251" i="2"/>
  <c r="G252" i="2"/>
  <c r="H252" i="2"/>
  <c r="I252" i="2"/>
  <c r="K252" i="2"/>
  <c r="G253" i="2"/>
  <c r="H253" i="2"/>
  <c r="I253" i="2"/>
  <c r="K253" i="2"/>
  <c r="G254" i="2"/>
  <c r="H254" i="2"/>
  <c r="I254" i="2"/>
  <c r="K254" i="2"/>
  <c r="G255" i="2"/>
  <c r="H255" i="2"/>
  <c r="I255" i="2"/>
  <c r="K255" i="2"/>
  <c r="G256" i="2"/>
  <c r="H256" i="2"/>
  <c r="I256" i="2"/>
  <c r="K256" i="2"/>
  <c r="G257" i="2"/>
  <c r="H257" i="2"/>
  <c r="I257" i="2"/>
  <c r="K257" i="2"/>
  <c r="G258" i="2"/>
  <c r="H258" i="2"/>
  <c r="I258" i="2"/>
  <c r="K258" i="2"/>
  <c r="G259" i="2"/>
  <c r="H259" i="2"/>
  <c r="I259" i="2"/>
  <c r="K259" i="2"/>
  <c r="G260" i="2"/>
  <c r="H260" i="2"/>
  <c r="I260" i="2"/>
  <c r="K260" i="2"/>
  <c r="G261" i="2"/>
  <c r="H261" i="2"/>
  <c r="I261" i="2"/>
  <c r="K261" i="2"/>
  <c r="G262" i="2"/>
  <c r="H262" i="2"/>
  <c r="I262" i="2"/>
  <c r="K262" i="2"/>
  <c r="G263" i="2"/>
  <c r="H263" i="2"/>
  <c r="I263" i="2"/>
  <c r="K263" i="2"/>
  <c r="G264" i="2"/>
  <c r="H264" i="2"/>
  <c r="I264" i="2"/>
  <c r="K264" i="2"/>
  <c r="G265" i="2"/>
  <c r="H265" i="2"/>
  <c r="I265" i="2"/>
  <c r="K265" i="2"/>
  <c r="G266" i="2"/>
  <c r="H266" i="2"/>
  <c r="I266" i="2"/>
  <c r="K266" i="2"/>
  <c r="G267" i="2"/>
  <c r="H267" i="2"/>
  <c r="I267" i="2"/>
  <c r="K267" i="2"/>
  <c r="G268" i="2"/>
  <c r="H268" i="2"/>
  <c r="I268" i="2"/>
  <c r="K268" i="2"/>
  <c r="G269" i="2"/>
  <c r="H269" i="2"/>
  <c r="I269" i="2"/>
  <c r="K269" i="2"/>
  <c r="G270" i="2"/>
  <c r="H270" i="2"/>
  <c r="I270" i="2"/>
  <c r="K270" i="2"/>
  <c r="G271" i="2"/>
  <c r="H271" i="2"/>
  <c r="I271" i="2"/>
  <c r="K271" i="2"/>
  <c r="G272" i="2"/>
  <c r="H272" i="2"/>
  <c r="I272" i="2"/>
  <c r="K272" i="2"/>
  <c r="G273" i="2"/>
  <c r="H273" i="2"/>
  <c r="I273" i="2"/>
  <c r="K273" i="2"/>
  <c r="G274" i="2"/>
  <c r="H274" i="2"/>
  <c r="I274" i="2"/>
  <c r="K274" i="2"/>
  <c r="G275" i="2"/>
  <c r="H275" i="2"/>
  <c r="I275" i="2"/>
  <c r="K275" i="2"/>
  <c r="G276" i="2"/>
  <c r="H276" i="2"/>
  <c r="I276" i="2"/>
  <c r="K276" i="2"/>
  <c r="G277" i="2"/>
  <c r="H277" i="2"/>
  <c r="I277" i="2"/>
  <c r="K277" i="2"/>
  <c r="G278" i="2"/>
  <c r="H278" i="2"/>
  <c r="I278" i="2"/>
  <c r="K278" i="2"/>
  <c r="G279" i="2"/>
  <c r="H279" i="2"/>
  <c r="I279" i="2"/>
  <c r="K279" i="2"/>
  <c r="G280" i="2"/>
  <c r="H280" i="2"/>
  <c r="I280" i="2"/>
  <c r="K280" i="2"/>
  <c r="G281" i="2"/>
  <c r="H281" i="2"/>
  <c r="I281" i="2"/>
  <c r="K281" i="2"/>
  <c r="G282" i="2"/>
  <c r="H282" i="2"/>
  <c r="I282" i="2"/>
  <c r="K282" i="2"/>
  <c r="G283" i="2"/>
  <c r="H283" i="2"/>
  <c r="I283" i="2"/>
  <c r="K283" i="2"/>
  <c r="G284" i="2"/>
  <c r="H284" i="2"/>
  <c r="I284" i="2"/>
  <c r="K284" i="2"/>
  <c r="G285" i="2"/>
  <c r="H285" i="2"/>
  <c r="I285" i="2"/>
  <c r="K285" i="2"/>
  <c r="G286" i="2"/>
  <c r="H286" i="2"/>
  <c r="I286" i="2"/>
  <c r="K286" i="2"/>
  <c r="G287" i="2"/>
  <c r="H287" i="2"/>
  <c r="I287" i="2"/>
  <c r="K287" i="2"/>
  <c r="G288" i="2"/>
  <c r="H288" i="2"/>
  <c r="I288" i="2"/>
  <c r="K288" i="2"/>
  <c r="G289" i="2"/>
  <c r="H289" i="2"/>
  <c r="I289" i="2"/>
  <c r="K289" i="2"/>
  <c r="G290" i="2"/>
  <c r="H290" i="2"/>
  <c r="I290" i="2"/>
  <c r="K290" i="2"/>
  <c r="G291" i="2"/>
  <c r="H291" i="2"/>
  <c r="I291" i="2"/>
  <c r="K291" i="2"/>
  <c r="G292" i="2"/>
  <c r="H292" i="2"/>
  <c r="I292" i="2"/>
  <c r="K292" i="2"/>
  <c r="G293" i="2"/>
  <c r="H293" i="2"/>
  <c r="I293" i="2"/>
  <c r="K293" i="2"/>
  <c r="G294" i="2"/>
  <c r="H294" i="2"/>
  <c r="I294" i="2"/>
  <c r="K294" i="2"/>
  <c r="G295" i="2"/>
  <c r="H295" i="2"/>
  <c r="I295" i="2"/>
  <c r="K295" i="2"/>
  <c r="G296" i="2"/>
  <c r="H296" i="2"/>
  <c r="I296" i="2"/>
  <c r="K296" i="2"/>
  <c r="G297" i="2"/>
  <c r="H297" i="2"/>
  <c r="I297" i="2"/>
  <c r="K297" i="2"/>
  <c r="G298" i="2"/>
  <c r="H298" i="2"/>
  <c r="I298" i="2"/>
  <c r="K298" i="2"/>
  <c r="G299" i="2"/>
  <c r="H299" i="2"/>
  <c r="I299" i="2"/>
  <c r="K299" i="2"/>
  <c r="G300" i="2"/>
  <c r="H300" i="2"/>
  <c r="I300" i="2"/>
  <c r="K300" i="2"/>
  <c r="G301" i="2"/>
  <c r="H301" i="2"/>
  <c r="I301" i="2"/>
  <c r="K301" i="2"/>
  <c r="G302" i="2"/>
  <c r="H302" i="2"/>
  <c r="I302" i="2"/>
  <c r="K302" i="2"/>
  <c r="G303" i="2"/>
  <c r="H303" i="2"/>
  <c r="I303" i="2"/>
  <c r="K303" i="2"/>
  <c r="G304" i="2"/>
  <c r="H304" i="2"/>
  <c r="I304" i="2"/>
  <c r="K304" i="2"/>
  <c r="G305" i="2"/>
  <c r="H305" i="2"/>
  <c r="I305" i="2"/>
  <c r="K305" i="2"/>
  <c r="G306" i="2"/>
  <c r="H306" i="2"/>
  <c r="I306" i="2"/>
  <c r="K306" i="2"/>
  <c r="G307" i="2"/>
  <c r="H307" i="2"/>
  <c r="I307" i="2"/>
  <c r="K307" i="2"/>
  <c r="G308" i="2"/>
  <c r="H308" i="2"/>
  <c r="I308" i="2"/>
  <c r="K308" i="2"/>
  <c r="G309" i="2"/>
  <c r="H309" i="2"/>
  <c r="I309" i="2"/>
  <c r="K309" i="2"/>
  <c r="G310" i="2"/>
  <c r="H310" i="2"/>
  <c r="I310" i="2"/>
  <c r="K310" i="2"/>
  <c r="G311" i="2"/>
  <c r="H311" i="2"/>
  <c r="I311" i="2"/>
  <c r="K311" i="2"/>
  <c r="G312" i="2"/>
  <c r="H312" i="2"/>
  <c r="I312" i="2"/>
  <c r="K312" i="2"/>
  <c r="G313" i="2"/>
  <c r="H313" i="2"/>
  <c r="I313" i="2"/>
  <c r="K313" i="2"/>
  <c r="G314" i="2"/>
  <c r="H314" i="2"/>
  <c r="I314" i="2"/>
  <c r="K314" i="2"/>
  <c r="G315" i="2"/>
  <c r="H315" i="2"/>
  <c r="I315" i="2"/>
  <c r="K315" i="2"/>
  <c r="G316" i="2"/>
  <c r="H316" i="2"/>
  <c r="I316" i="2"/>
  <c r="K316" i="2"/>
  <c r="G317" i="2"/>
  <c r="H317" i="2"/>
  <c r="I317" i="2"/>
  <c r="K317" i="2"/>
  <c r="G318" i="2"/>
  <c r="H318" i="2"/>
  <c r="I318" i="2"/>
  <c r="K318" i="2"/>
  <c r="G319" i="2"/>
  <c r="H319" i="2"/>
  <c r="I319" i="2"/>
  <c r="K319" i="2"/>
  <c r="G320" i="2"/>
  <c r="H320" i="2"/>
  <c r="I320" i="2"/>
  <c r="K320" i="2"/>
  <c r="G321" i="2"/>
  <c r="H321" i="2"/>
  <c r="I321" i="2"/>
  <c r="K321" i="2"/>
  <c r="G322" i="2"/>
  <c r="H322" i="2"/>
  <c r="I322" i="2"/>
  <c r="K322" i="2"/>
  <c r="G323" i="2"/>
  <c r="H323" i="2"/>
  <c r="I323" i="2"/>
  <c r="K323" i="2"/>
  <c r="G324" i="2"/>
  <c r="H324" i="2"/>
  <c r="I324" i="2"/>
  <c r="K324" i="2"/>
  <c r="G325" i="2"/>
  <c r="H325" i="2"/>
  <c r="I325" i="2"/>
  <c r="K325" i="2"/>
  <c r="G326" i="2"/>
  <c r="H326" i="2"/>
  <c r="I326" i="2"/>
  <c r="K326" i="2"/>
  <c r="G327" i="2"/>
  <c r="H327" i="2"/>
  <c r="I327" i="2"/>
  <c r="K327" i="2"/>
  <c r="G328" i="2"/>
  <c r="H328" i="2"/>
  <c r="I328" i="2"/>
  <c r="K328" i="2"/>
  <c r="G329" i="2"/>
  <c r="H329" i="2"/>
  <c r="I329" i="2"/>
  <c r="K329" i="2"/>
  <c r="G330" i="2"/>
  <c r="H330" i="2"/>
  <c r="I330" i="2"/>
  <c r="K330" i="2"/>
  <c r="G331" i="2"/>
  <c r="H331" i="2"/>
  <c r="I331" i="2"/>
  <c r="K331" i="2"/>
  <c r="G332" i="2"/>
  <c r="H332" i="2"/>
  <c r="I332" i="2"/>
  <c r="K332" i="2"/>
  <c r="G333" i="2"/>
  <c r="H333" i="2"/>
  <c r="I333" i="2"/>
  <c r="K333" i="2"/>
  <c r="G334" i="2"/>
  <c r="H334" i="2"/>
  <c r="I334" i="2"/>
  <c r="K334" i="2"/>
  <c r="G335" i="2"/>
  <c r="H335" i="2"/>
  <c r="I335" i="2"/>
  <c r="K335" i="2"/>
  <c r="G336" i="2"/>
  <c r="H336" i="2"/>
  <c r="I336" i="2"/>
  <c r="K336" i="2"/>
  <c r="G337" i="2"/>
  <c r="H337" i="2"/>
  <c r="I337" i="2"/>
  <c r="K337" i="2"/>
  <c r="G338" i="2"/>
  <c r="H338" i="2"/>
  <c r="I338" i="2"/>
  <c r="K338" i="2"/>
  <c r="G339" i="2"/>
  <c r="H339" i="2"/>
  <c r="I339" i="2"/>
  <c r="K339" i="2"/>
  <c r="G340" i="2"/>
  <c r="H340" i="2"/>
  <c r="I340" i="2"/>
  <c r="K340" i="2"/>
  <c r="G341" i="2"/>
  <c r="H341" i="2"/>
  <c r="I341" i="2"/>
  <c r="K341" i="2"/>
  <c r="G342" i="2"/>
  <c r="H342" i="2"/>
  <c r="I342" i="2"/>
  <c r="K342" i="2"/>
  <c r="G343" i="2"/>
  <c r="H343" i="2"/>
  <c r="I343" i="2"/>
  <c r="K343" i="2"/>
  <c r="G344" i="2"/>
  <c r="H344" i="2"/>
  <c r="I344" i="2"/>
  <c r="K344" i="2"/>
  <c r="G345" i="2"/>
  <c r="H345" i="2"/>
  <c r="I345" i="2"/>
  <c r="K345" i="2"/>
  <c r="G346" i="2"/>
  <c r="H346" i="2"/>
  <c r="I346" i="2"/>
  <c r="K346" i="2"/>
  <c r="G347" i="2"/>
  <c r="H347" i="2"/>
  <c r="I347" i="2"/>
  <c r="K347" i="2"/>
  <c r="G348" i="2"/>
  <c r="H348" i="2"/>
  <c r="I348" i="2"/>
  <c r="K348" i="2"/>
  <c r="G349" i="2"/>
  <c r="H349" i="2"/>
  <c r="I349" i="2"/>
  <c r="K349" i="2"/>
  <c r="G350" i="2"/>
  <c r="H350" i="2"/>
  <c r="I350" i="2"/>
  <c r="K350" i="2"/>
  <c r="G351" i="2"/>
  <c r="H351" i="2"/>
  <c r="I351" i="2"/>
  <c r="K351" i="2"/>
  <c r="G352" i="2"/>
  <c r="H352" i="2"/>
  <c r="I352" i="2"/>
  <c r="K352" i="2"/>
  <c r="G353" i="2"/>
  <c r="H353" i="2"/>
  <c r="I353" i="2"/>
  <c r="K353" i="2"/>
  <c r="G354" i="2"/>
  <c r="H354" i="2"/>
  <c r="I354" i="2"/>
  <c r="K354" i="2"/>
  <c r="G355" i="2"/>
  <c r="H355" i="2"/>
  <c r="I355" i="2"/>
  <c r="K355" i="2"/>
  <c r="G356" i="2"/>
  <c r="H356" i="2"/>
  <c r="I356" i="2"/>
  <c r="K356" i="2"/>
  <c r="G357" i="2"/>
  <c r="H357" i="2"/>
  <c r="I357" i="2"/>
  <c r="K357" i="2"/>
  <c r="G358" i="2"/>
  <c r="H358" i="2"/>
  <c r="I358" i="2"/>
  <c r="K358" i="2"/>
  <c r="G359" i="2"/>
  <c r="H359" i="2"/>
  <c r="I359" i="2"/>
  <c r="K359" i="2"/>
  <c r="G360" i="2"/>
  <c r="H360" i="2"/>
  <c r="I360" i="2"/>
  <c r="K360" i="2"/>
  <c r="G361" i="2"/>
  <c r="H361" i="2"/>
  <c r="I361" i="2"/>
  <c r="K361" i="2"/>
  <c r="G362" i="2"/>
  <c r="H362" i="2"/>
  <c r="I362" i="2"/>
  <c r="K362" i="2"/>
  <c r="G363" i="2"/>
  <c r="H363" i="2"/>
  <c r="I363" i="2"/>
  <c r="K363" i="2"/>
  <c r="G364" i="2"/>
  <c r="H364" i="2"/>
  <c r="I364" i="2"/>
  <c r="K364" i="2"/>
  <c r="G365" i="2"/>
  <c r="H365" i="2"/>
  <c r="I365" i="2"/>
  <c r="K365" i="2"/>
  <c r="G366" i="2"/>
  <c r="H366" i="2"/>
  <c r="I366" i="2"/>
  <c r="K366" i="2"/>
  <c r="G367" i="2"/>
  <c r="H367" i="2"/>
  <c r="I367" i="2"/>
  <c r="K367" i="2"/>
  <c r="G368" i="2"/>
  <c r="H368" i="2"/>
  <c r="I368" i="2"/>
  <c r="K368" i="2"/>
  <c r="G369" i="2"/>
  <c r="H369" i="2"/>
  <c r="I369" i="2"/>
  <c r="K369" i="2"/>
  <c r="G370" i="2"/>
  <c r="H370" i="2"/>
  <c r="I370" i="2"/>
  <c r="K370" i="2"/>
  <c r="G371" i="2"/>
  <c r="H371" i="2"/>
  <c r="I371" i="2"/>
  <c r="K371" i="2"/>
  <c r="G372" i="2"/>
  <c r="H372" i="2"/>
  <c r="I372" i="2"/>
  <c r="K372" i="2"/>
  <c r="G373" i="2"/>
  <c r="H373" i="2"/>
  <c r="I373" i="2"/>
  <c r="K373" i="2"/>
  <c r="G374" i="2"/>
  <c r="H374" i="2"/>
  <c r="I374" i="2"/>
  <c r="K374" i="2"/>
  <c r="G375" i="2"/>
  <c r="H375" i="2"/>
  <c r="I375" i="2"/>
  <c r="K375" i="2"/>
  <c r="G376" i="2"/>
  <c r="H376" i="2"/>
  <c r="I376" i="2"/>
  <c r="K376" i="2"/>
  <c r="G377" i="2"/>
  <c r="H377" i="2"/>
  <c r="I377" i="2"/>
  <c r="K377" i="2"/>
  <c r="G378" i="2"/>
  <c r="H378" i="2"/>
  <c r="I378" i="2"/>
  <c r="K378" i="2"/>
  <c r="G379" i="2"/>
  <c r="H379" i="2"/>
  <c r="I379" i="2"/>
  <c r="K379" i="2"/>
  <c r="G380" i="2"/>
  <c r="H380" i="2"/>
  <c r="I380" i="2"/>
  <c r="K380" i="2"/>
  <c r="G381" i="2"/>
  <c r="H381" i="2"/>
  <c r="I381" i="2"/>
  <c r="K381" i="2"/>
  <c r="G382" i="2"/>
  <c r="H382" i="2"/>
  <c r="I382" i="2"/>
  <c r="K382" i="2"/>
  <c r="G383" i="2"/>
  <c r="H383" i="2"/>
  <c r="I383" i="2"/>
  <c r="K383" i="2"/>
  <c r="G384" i="2"/>
  <c r="H384" i="2"/>
  <c r="I384" i="2"/>
  <c r="K384" i="2"/>
  <c r="G385" i="2"/>
  <c r="H385" i="2"/>
  <c r="I385" i="2"/>
  <c r="K385" i="2"/>
  <c r="G386" i="2"/>
  <c r="H386" i="2"/>
  <c r="I386" i="2"/>
  <c r="K386" i="2"/>
  <c r="G387" i="2"/>
  <c r="H387" i="2"/>
  <c r="I387" i="2"/>
  <c r="K387" i="2"/>
  <c r="G388" i="2"/>
  <c r="H388" i="2"/>
  <c r="I388" i="2"/>
  <c r="K388" i="2"/>
  <c r="G389" i="2"/>
  <c r="H389" i="2"/>
  <c r="I389" i="2"/>
  <c r="K389" i="2"/>
  <c r="G390" i="2"/>
  <c r="H390" i="2"/>
  <c r="I390" i="2"/>
  <c r="K390" i="2"/>
  <c r="G391" i="2"/>
  <c r="H391" i="2"/>
  <c r="I391" i="2"/>
  <c r="K391" i="2"/>
  <c r="G392" i="2"/>
  <c r="H392" i="2"/>
  <c r="I392" i="2"/>
  <c r="K392" i="2"/>
  <c r="G393" i="2"/>
  <c r="H393" i="2"/>
  <c r="I393" i="2"/>
  <c r="K393" i="2"/>
  <c r="G394" i="2"/>
  <c r="H394" i="2"/>
  <c r="I394" i="2"/>
  <c r="K394" i="2"/>
  <c r="G395" i="2"/>
  <c r="H395" i="2"/>
  <c r="I395" i="2"/>
  <c r="K395" i="2"/>
  <c r="G396" i="2"/>
  <c r="H396" i="2"/>
  <c r="I396" i="2"/>
  <c r="K396" i="2"/>
  <c r="G397" i="2"/>
  <c r="H397" i="2"/>
  <c r="I397" i="2"/>
  <c r="K397" i="2"/>
  <c r="G398" i="2"/>
  <c r="H398" i="2"/>
  <c r="I398" i="2"/>
  <c r="K398" i="2"/>
  <c r="G399" i="2"/>
  <c r="H399" i="2"/>
  <c r="I399" i="2"/>
  <c r="K399" i="2"/>
  <c r="G400" i="2"/>
  <c r="H400" i="2"/>
  <c r="I400" i="2"/>
  <c r="K400" i="2"/>
  <c r="G401" i="2"/>
  <c r="H401" i="2"/>
  <c r="I401" i="2"/>
  <c r="K401" i="2"/>
  <c r="G402" i="2"/>
  <c r="H402" i="2"/>
  <c r="I402" i="2"/>
  <c r="K402" i="2"/>
  <c r="I403" i="2"/>
  <c r="K403" i="2"/>
  <c r="I404" i="2"/>
  <c r="K404" i="2"/>
  <c r="I405" i="2"/>
  <c r="K405" i="2"/>
  <c r="I406" i="2"/>
  <c r="K406" i="2"/>
  <c r="I407" i="2"/>
  <c r="K407" i="2"/>
  <c r="I408" i="2"/>
  <c r="K408" i="2"/>
  <c r="I409" i="2"/>
  <c r="K409" i="2"/>
  <c r="I410" i="2"/>
  <c r="K410" i="2"/>
  <c r="I411" i="2"/>
  <c r="K411" i="2"/>
  <c r="I412" i="2"/>
  <c r="K412" i="2"/>
  <c r="I413" i="2"/>
  <c r="K413" i="2"/>
  <c r="I414" i="2"/>
  <c r="K414" i="2"/>
  <c r="I415" i="2"/>
  <c r="K415" i="2"/>
  <c r="I416" i="2"/>
  <c r="K416" i="2"/>
  <c r="I417" i="2"/>
  <c r="K417" i="2"/>
  <c r="I418" i="2"/>
  <c r="K418" i="2"/>
  <c r="I419" i="2"/>
  <c r="K419" i="2"/>
  <c r="I420" i="2"/>
  <c r="K420" i="2"/>
  <c r="I421" i="2"/>
  <c r="K421" i="2"/>
  <c r="I422" i="2"/>
  <c r="K422" i="2"/>
  <c r="I423" i="2"/>
  <c r="K423" i="2"/>
  <c r="I424" i="2"/>
  <c r="K424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O6" i="2" a="1"/>
  <c r="O6" i="2"/>
  <c r="E30" i="2"/>
  <c r="V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G8" i="2"/>
  <c r="G9" i="2"/>
  <c r="G10" i="2"/>
  <c r="G11" i="2"/>
  <c r="G12" i="2"/>
  <c r="G13" i="2"/>
  <c r="G14" i="2"/>
  <c r="G7" i="2"/>
  <c r="K14" i="2"/>
  <c r="J19" i="2"/>
  <c r="J20" i="2"/>
  <c r="E14" i="2"/>
  <c r="K12" i="2"/>
  <c r="P7" i="2"/>
  <c r="P6" i="2"/>
  <c r="P2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T36" i="2"/>
  <c r="D36" i="2"/>
  <c r="E19" i="2"/>
  <c r="J26" i="2"/>
  <c r="F18" i="2"/>
  <c r="K9" i="2"/>
  <c r="K11" i="2"/>
  <c r="K10" i="2"/>
  <c r="K13" i="2"/>
  <c r="K8" i="2"/>
  <c r="K7" i="2"/>
  <c r="F28" i="2"/>
  <c r="F27" i="2"/>
  <c r="F26" i="2"/>
  <c r="F25" i="2"/>
  <c r="F24" i="2"/>
  <c r="F23" i="2"/>
  <c r="F22" i="2"/>
  <c r="F21" i="2"/>
  <c r="F17" i="2"/>
  <c r="F14" i="2"/>
  <c r="F9" i="2"/>
  <c r="F8" i="2"/>
  <c r="F30" i="2"/>
  <c r="F7" i="2"/>
  <c r="J28" i="2"/>
  <c r="N37" i="2"/>
  <c r="Q37" i="2"/>
  <c r="N38" i="2"/>
  <c r="Q38" i="2"/>
  <c r="N39" i="2"/>
  <c r="Q39" i="2"/>
  <c r="N40" i="2"/>
  <c r="Q40" i="2"/>
  <c r="N41" i="2"/>
  <c r="Q41" i="2"/>
  <c r="N42" i="2"/>
  <c r="Q42" i="2"/>
  <c r="N43" i="2"/>
  <c r="Q43" i="2"/>
  <c r="N44" i="2"/>
  <c r="Q44" i="2"/>
  <c r="N45" i="2"/>
  <c r="Q45" i="2"/>
  <c r="N46" i="2"/>
  <c r="Q46" i="2"/>
  <c r="N47" i="2"/>
  <c r="Q47" i="2"/>
  <c r="N48" i="2"/>
  <c r="Q48" i="2"/>
  <c r="N49" i="2"/>
  <c r="Q49" i="2"/>
  <c r="N50" i="2"/>
  <c r="Q50" i="2"/>
  <c r="N51" i="2"/>
  <c r="Q51" i="2"/>
  <c r="N52" i="2"/>
  <c r="Q52" i="2"/>
  <c r="N53" i="2"/>
  <c r="Q53" i="2"/>
  <c r="N54" i="2"/>
  <c r="Q54" i="2"/>
  <c r="N55" i="2"/>
  <c r="Q55" i="2"/>
  <c r="N56" i="2"/>
  <c r="Q56" i="2"/>
  <c r="N57" i="2"/>
  <c r="Q57" i="2"/>
  <c r="N58" i="2"/>
  <c r="Q58" i="2"/>
  <c r="N59" i="2"/>
  <c r="Q59" i="2"/>
  <c r="N60" i="2"/>
  <c r="Q60" i="2"/>
  <c r="R60" i="2"/>
  <c r="U60" i="2"/>
  <c r="V60" i="2"/>
  <c r="O11" i="2" a="1"/>
  <c r="O11" i="2"/>
  <c r="P11" i="2"/>
  <c r="W37" i="2" a="1"/>
  <c r="W37" i="2"/>
  <c r="X37" i="2"/>
  <c r="W38" i="2" a="1"/>
  <c r="W38" i="2"/>
  <c r="W39" i="2" a="1"/>
  <c r="W39" i="2"/>
  <c r="W40" i="2" a="1"/>
  <c r="W40" i="2"/>
  <c r="W41" i="2" a="1"/>
  <c r="W41" i="2"/>
  <c r="W42" i="2" a="1"/>
  <c r="W42" i="2"/>
  <c r="W43" i="2" a="1"/>
  <c r="W43" i="2"/>
  <c r="W44" i="2" a="1"/>
  <c r="W44" i="2"/>
  <c r="W45" i="2" a="1"/>
  <c r="W45" i="2"/>
  <c r="W46" i="2" a="1"/>
  <c r="W46" i="2"/>
  <c r="W47" i="2" a="1"/>
  <c r="W47" i="2"/>
  <c r="W48" i="2" a="1"/>
  <c r="W48" i="2"/>
  <c r="W49" i="2" a="1"/>
  <c r="W49" i="2"/>
  <c r="W50" i="2" a="1"/>
  <c r="W50" i="2"/>
  <c r="W51" i="2" a="1"/>
  <c r="W51" i="2"/>
  <c r="W52" i="2" a="1"/>
  <c r="W52" i="2"/>
  <c r="W53" i="2" a="1"/>
  <c r="W53" i="2"/>
  <c r="W54" i="2" a="1"/>
  <c r="W54" i="2"/>
  <c r="W55" i="2" a="1"/>
  <c r="W55" i="2"/>
  <c r="W56" i="2" a="1"/>
  <c r="W56" i="2"/>
  <c r="W57" i="2" a="1"/>
  <c r="W57" i="2"/>
  <c r="W58" i="2" a="1"/>
  <c r="W58" i="2"/>
  <c r="W59" i="2" a="1"/>
  <c r="W59" i="2"/>
  <c r="W60" i="2" a="1"/>
  <c r="W60" i="2"/>
  <c r="N61" i="2"/>
  <c r="Q61" i="2"/>
  <c r="W61" i="2" a="1"/>
  <c r="W61" i="2"/>
  <c r="N62" i="2"/>
  <c r="Q62" i="2"/>
  <c r="W62" i="2" a="1"/>
  <c r="W62" i="2"/>
  <c r="N63" i="2"/>
  <c r="Q63" i="2"/>
  <c r="W63" i="2" a="1"/>
  <c r="W63" i="2"/>
  <c r="N64" i="2"/>
  <c r="Q64" i="2"/>
  <c r="W64" i="2" a="1"/>
  <c r="W64" i="2"/>
  <c r="N65" i="2"/>
  <c r="Q65" i="2"/>
  <c r="W65" i="2" a="1"/>
  <c r="W65" i="2"/>
  <c r="N66" i="2"/>
  <c r="Q66" i="2"/>
  <c r="W66" i="2" a="1"/>
  <c r="W66" i="2"/>
  <c r="N67" i="2"/>
  <c r="Q67" i="2"/>
  <c r="W67" i="2" a="1"/>
  <c r="W67" i="2"/>
  <c r="N68" i="2"/>
  <c r="Q68" i="2"/>
  <c r="W68" i="2" a="1"/>
  <c r="W68" i="2"/>
  <c r="N69" i="2"/>
  <c r="Q69" i="2"/>
  <c r="W69" i="2" a="1"/>
  <c r="W69" i="2"/>
  <c r="N70" i="2"/>
  <c r="Q70" i="2"/>
  <c r="W70" i="2" a="1"/>
  <c r="W70" i="2"/>
  <c r="N71" i="2"/>
  <c r="Q71" i="2"/>
  <c r="W71" i="2" a="1"/>
  <c r="W71" i="2"/>
  <c r="N72" i="2"/>
  <c r="Q72" i="2"/>
  <c r="W72" i="2" a="1"/>
  <c r="W72" i="2"/>
  <c r="N73" i="2"/>
  <c r="Q73" i="2"/>
  <c r="W73" i="2" a="1"/>
  <c r="W73" i="2"/>
  <c r="N74" i="2"/>
  <c r="Q74" i="2"/>
  <c r="W74" i="2" a="1"/>
  <c r="W74" i="2"/>
  <c r="N75" i="2"/>
  <c r="Q75" i="2"/>
  <c r="W75" i="2" a="1"/>
  <c r="W75" i="2"/>
  <c r="N76" i="2"/>
  <c r="Q76" i="2"/>
  <c r="W76" i="2" a="1"/>
  <c r="W76" i="2"/>
  <c r="N77" i="2"/>
  <c r="Q77" i="2"/>
  <c r="W77" i="2" a="1"/>
  <c r="W77" i="2"/>
  <c r="N78" i="2"/>
  <c r="Q78" i="2"/>
  <c r="W78" i="2" a="1"/>
  <c r="W78" i="2"/>
  <c r="N79" i="2"/>
  <c r="Q79" i="2"/>
  <c r="W79" i="2" a="1"/>
  <c r="W79" i="2"/>
  <c r="N80" i="2"/>
  <c r="Q80" i="2"/>
  <c r="W80" i="2" a="1"/>
  <c r="W80" i="2"/>
  <c r="N81" i="2"/>
  <c r="Q81" i="2"/>
  <c r="W81" i="2" a="1"/>
  <c r="W81" i="2"/>
  <c r="N82" i="2"/>
  <c r="Q82" i="2"/>
  <c r="W82" i="2" a="1"/>
  <c r="W82" i="2"/>
  <c r="N83" i="2"/>
  <c r="Q83" i="2"/>
  <c r="W83" i="2" a="1"/>
  <c r="W83" i="2"/>
  <c r="N84" i="2"/>
  <c r="Q84" i="2"/>
  <c r="W84" i="2" a="1"/>
  <c r="W84" i="2"/>
  <c r="N85" i="2"/>
  <c r="Q85" i="2"/>
  <c r="W85" i="2" a="1"/>
  <c r="W85" i="2"/>
  <c r="N86" i="2"/>
  <c r="Q86" i="2"/>
  <c r="W86" i="2" a="1"/>
  <c r="W86" i="2"/>
  <c r="N87" i="2"/>
  <c r="Q87" i="2"/>
  <c r="W87" i="2" a="1"/>
  <c r="W87" i="2"/>
  <c r="N88" i="2"/>
  <c r="Q88" i="2"/>
  <c r="W88" i="2" a="1"/>
  <c r="W88" i="2"/>
  <c r="N89" i="2"/>
  <c r="Q89" i="2"/>
  <c r="W89" i="2" a="1"/>
  <c r="W89" i="2"/>
  <c r="N90" i="2"/>
  <c r="Q90" i="2"/>
  <c r="W90" i="2" a="1"/>
  <c r="W90" i="2"/>
  <c r="N91" i="2"/>
  <c r="Q91" i="2"/>
  <c r="W91" i="2" a="1"/>
  <c r="W91" i="2"/>
  <c r="N92" i="2"/>
  <c r="Q92" i="2"/>
  <c r="W92" i="2" a="1"/>
  <c r="W92" i="2"/>
  <c r="N93" i="2"/>
  <c r="Q93" i="2"/>
  <c r="W93" i="2" a="1"/>
  <c r="W93" i="2"/>
  <c r="N94" i="2"/>
  <c r="Q94" i="2"/>
  <c r="W94" i="2" a="1"/>
  <c r="W94" i="2"/>
  <c r="N95" i="2"/>
  <c r="Q95" i="2"/>
  <c r="W95" i="2" a="1"/>
  <c r="W95" i="2"/>
  <c r="N96" i="2"/>
  <c r="Q96" i="2"/>
  <c r="W96" i="2" a="1"/>
  <c r="W96" i="2"/>
  <c r="N97" i="2"/>
  <c r="Q97" i="2"/>
  <c r="W97" i="2" a="1"/>
  <c r="W97" i="2"/>
  <c r="N98" i="2"/>
  <c r="Q98" i="2"/>
  <c r="W98" i="2" a="1"/>
  <c r="W98" i="2"/>
  <c r="N99" i="2"/>
  <c r="Q99" i="2"/>
  <c r="W99" i="2" a="1"/>
  <c r="W99" i="2"/>
  <c r="N100" i="2"/>
  <c r="Q100" i="2"/>
  <c r="W100" i="2" a="1"/>
  <c r="W100" i="2"/>
  <c r="N101" i="2"/>
  <c r="Q101" i="2"/>
  <c r="W101" i="2" a="1"/>
  <c r="W101" i="2"/>
  <c r="N102" i="2"/>
  <c r="Q102" i="2"/>
  <c r="W102" i="2" a="1"/>
  <c r="W102" i="2"/>
  <c r="N103" i="2"/>
  <c r="Q103" i="2"/>
  <c r="W103" i="2" a="1"/>
  <c r="W103" i="2"/>
  <c r="N104" i="2"/>
  <c r="Q104" i="2"/>
  <c r="W104" i="2" a="1"/>
  <c r="W104" i="2"/>
  <c r="N105" i="2"/>
  <c r="Q105" i="2"/>
  <c r="W105" i="2" a="1"/>
  <c r="W105" i="2"/>
  <c r="N106" i="2"/>
  <c r="Q106" i="2"/>
  <c r="W106" i="2" a="1"/>
  <c r="W106" i="2"/>
  <c r="N107" i="2"/>
  <c r="Q107" i="2"/>
  <c r="W107" i="2" a="1"/>
  <c r="W107" i="2"/>
  <c r="N108" i="2"/>
  <c r="Q108" i="2"/>
  <c r="W108" i="2" a="1"/>
  <c r="W108" i="2"/>
  <c r="N109" i="2"/>
  <c r="Q109" i="2"/>
  <c r="W109" i="2" a="1"/>
  <c r="W109" i="2"/>
  <c r="N110" i="2"/>
  <c r="Q110" i="2"/>
  <c r="W110" i="2" a="1"/>
  <c r="W110" i="2"/>
  <c r="N111" i="2"/>
  <c r="Q111" i="2"/>
  <c r="W111" i="2" a="1"/>
  <c r="W111" i="2"/>
  <c r="N112" i="2"/>
  <c r="Q112" i="2"/>
  <c r="W112" i="2" a="1"/>
  <c r="W112" i="2"/>
  <c r="N113" i="2"/>
  <c r="Q113" i="2"/>
  <c r="W113" i="2" a="1"/>
  <c r="W113" i="2"/>
  <c r="N114" i="2"/>
  <c r="Q114" i="2"/>
  <c r="W114" i="2" a="1"/>
  <c r="W114" i="2"/>
  <c r="N115" i="2"/>
  <c r="Q115" i="2"/>
  <c r="W115" i="2" a="1"/>
  <c r="W115" i="2"/>
  <c r="N116" i="2"/>
  <c r="Q116" i="2"/>
  <c r="W116" i="2" a="1"/>
  <c r="W116" i="2"/>
  <c r="N117" i="2"/>
  <c r="Q117" i="2"/>
  <c r="W117" i="2" a="1"/>
  <c r="W117" i="2"/>
  <c r="N118" i="2"/>
  <c r="Q118" i="2"/>
  <c r="W118" i="2" a="1"/>
  <c r="W118" i="2"/>
  <c r="N119" i="2"/>
  <c r="Q119" i="2"/>
  <c r="W119" i="2" a="1"/>
  <c r="W119" i="2"/>
  <c r="N120" i="2"/>
  <c r="Q120" i="2"/>
  <c r="W120" i="2" a="1"/>
  <c r="W120" i="2"/>
  <c r="N121" i="2"/>
  <c r="Q121" i="2"/>
  <c r="W121" i="2" a="1"/>
  <c r="W121" i="2"/>
  <c r="N122" i="2"/>
  <c r="Q122" i="2"/>
  <c r="W122" i="2" a="1"/>
  <c r="W122" i="2"/>
  <c r="N123" i="2"/>
  <c r="Q123" i="2"/>
  <c r="W123" i="2" a="1"/>
  <c r="W123" i="2"/>
  <c r="N124" i="2"/>
  <c r="Q124" i="2"/>
  <c r="W124" i="2" a="1"/>
  <c r="W124" i="2"/>
  <c r="N125" i="2"/>
  <c r="Q125" i="2"/>
  <c r="W125" i="2" a="1"/>
  <c r="W125" i="2"/>
  <c r="N126" i="2"/>
  <c r="Q126" i="2"/>
  <c r="W126" i="2" a="1"/>
  <c r="W126" i="2"/>
  <c r="N127" i="2"/>
  <c r="Q127" i="2"/>
  <c r="W127" i="2" a="1"/>
  <c r="W127" i="2"/>
  <c r="N128" i="2"/>
  <c r="Q128" i="2"/>
  <c r="W128" i="2" a="1"/>
  <c r="W128" i="2"/>
  <c r="N129" i="2"/>
  <c r="Q129" i="2"/>
  <c r="W129" i="2" a="1"/>
  <c r="W129" i="2"/>
  <c r="N130" i="2"/>
  <c r="Q130" i="2"/>
  <c r="W130" i="2" a="1"/>
  <c r="W130" i="2"/>
  <c r="N131" i="2"/>
  <c r="Q131" i="2"/>
  <c r="W131" i="2" a="1"/>
  <c r="W131" i="2"/>
  <c r="N132" i="2"/>
  <c r="Q132" i="2"/>
  <c r="W132" i="2" a="1"/>
  <c r="W132" i="2"/>
  <c r="N133" i="2"/>
  <c r="Q133" i="2"/>
  <c r="W133" i="2" a="1"/>
  <c r="W133" i="2"/>
  <c r="N134" i="2"/>
  <c r="Q134" i="2"/>
  <c r="W134" i="2" a="1"/>
  <c r="W134" i="2"/>
  <c r="N135" i="2"/>
  <c r="Q135" i="2"/>
  <c r="W135" i="2" a="1"/>
  <c r="W135" i="2"/>
  <c r="N136" i="2"/>
  <c r="Q136" i="2"/>
  <c r="W136" i="2" a="1"/>
  <c r="W136" i="2"/>
  <c r="N137" i="2"/>
  <c r="Q137" i="2"/>
  <c r="W137" i="2" a="1"/>
  <c r="W137" i="2"/>
  <c r="N138" i="2"/>
  <c r="Q138" i="2"/>
  <c r="W138" i="2" a="1"/>
  <c r="W138" i="2"/>
  <c r="N139" i="2"/>
  <c r="Q139" i="2"/>
  <c r="W139" i="2" a="1"/>
  <c r="W139" i="2"/>
  <c r="N140" i="2"/>
  <c r="Q140" i="2"/>
  <c r="W140" i="2" a="1"/>
  <c r="W140" i="2"/>
  <c r="N141" i="2"/>
  <c r="Q141" i="2"/>
  <c r="W141" i="2" a="1"/>
  <c r="W141" i="2"/>
  <c r="N142" i="2"/>
  <c r="Q142" i="2"/>
  <c r="W142" i="2" a="1"/>
  <c r="W142" i="2"/>
  <c r="N143" i="2"/>
  <c r="Q143" i="2"/>
  <c r="W143" i="2" a="1"/>
  <c r="W143" i="2"/>
  <c r="N144" i="2"/>
  <c r="Q144" i="2"/>
  <c r="W144" i="2" a="1"/>
  <c r="W144" i="2"/>
  <c r="N145" i="2"/>
  <c r="Q145" i="2"/>
  <c r="W145" i="2" a="1"/>
  <c r="W145" i="2"/>
  <c r="N146" i="2"/>
  <c r="Q146" i="2"/>
  <c r="W146" i="2" a="1"/>
  <c r="W146" i="2"/>
  <c r="N147" i="2"/>
  <c r="Q147" i="2"/>
  <c r="W147" i="2" a="1"/>
  <c r="W147" i="2"/>
  <c r="N148" i="2"/>
  <c r="Q148" i="2"/>
  <c r="W148" i="2" a="1"/>
  <c r="W148" i="2"/>
  <c r="N149" i="2"/>
  <c r="Q149" i="2"/>
  <c r="W149" i="2" a="1"/>
  <c r="W149" i="2"/>
  <c r="N150" i="2"/>
  <c r="Q150" i="2"/>
  <c r="W150" i="2" a="1"/>
  <c r="W150" i="2"/>
  <c r="N151" i="2"/>
  <c r="Q151" i="2"/>
  <c r="W151" i="2" a="1"/>
  <c r="W151" i="2"/>
  <c r="N152" i="2"/>
  <c r="Q152" i="2"/>
  <c r="W152" i="2" a="1"/>
  <c r="W152" i="2"/>
  <c r="N153" i="2"/>
  <c r="Q153" i="2"/>
  <c r="W153" i="2" a="1"/>
  <c r="W153" i="2"/>
  <c r="N154" i="2"/>
  <c r="Q154" i="2"/>
  <c r="W154" i="2" a="1"/>
  <c r="W154" i="2"/>
  <c r="N155" i="2"/>
  <c r="Q155" i="2"/>
  <c r="W155" i="2" a="1"/>
  <c r="W155" i="2"/>
  <c r="N156" i="2"/>
  <c r="Q156" i="2"/>
  <c r="W156" i="2" a="1"/>
  <c r="W156" i="2"/>
  <c r="N157" i="2"/>
  <c r="Q157" i="2"/>
  <c r="W157" i="2" a="1"/>
  <c r="W157" i="2"/>
  <c r="N158" i="2"/>
  <c r="Q158" i="2"/>
  <c r="W158" i="2" a="1"/>
  <c r="W158" i="2"/>
  <c r="N159" i="2"/>
  <c r="Q159" i="2"/>
  <c r="W159" i="2" a="1"/>
  <c r="W159" i="2"/>
  <c r="N160" i="2"/>
  <c r="Q160" i="2"/>
  <c r="W160" i="2" a="1"/>
  <c r="W160" i="2"/>
  <c r="N161" i="2"/>
  <c r="Q161" i="2"/>
  <c r="W161" i="2" a="1"/>
  <c r="W161" i="2"/>
  <c r="N162" i="2"/>
  <c r="Q162" i="2"/>
  <c r="W162" i="2" a="1"/>
  <c r="W162" i="2"/>
  <c r="N163" i="2"/>
  <c r="Q163" i="2"/>
  <c r="W163" i="2" a="1"/>
  <c r="W163" i="2"/>
  <c r="N164" i="2"/>
  <c r="Q164" i="2"/>
  <c r="W164" i="2" a="1"/>
  <c r="W164" i="2"/>
  <c r="N165" i="2"/>
  <c r="Q165" i="2"/>
  <c r="W165" i="2" a="1"/>
  <c r="W165" i="2"/>
  <c r="N166" i="2"/>
  <c r="Q166" i="2"/>
  <c r="W166" i="2" a="1"/>
  <c r="W166" i="2"/>
  <c r="N167" i="2"/>
  <c r="Q167" i="2"/>
  <c r="W167" i="2" a="1"/>
  <c r="W167" i="2"/>
  <c r="N168" i="2"/>
  <c r="Q168" i="2"/>
  <c r="W168" i="2" a="1"/>
  <c r="W168" i="2"/>
  <c r="N169" i="2"/>
  <c r="Q169" i="2"/>
  <c r="W169" i="2" a="1"/>
  <c r="W169" i="2"/>
  <c r="N170" i="2"/>
  <c r="Q170" i="2"/>
  <c r="W170" i="2" a="1"/>
  <c r="W170" i="2"/>
  <c r="N171" i="2"/>
  <c r="Q171" i="2"/>
  <c r="W171" i="2" a="1"/>
  <c r="W171" i="2"/>
  <c r="N172" i="2"/>
  <c r="Q172" i="2"/>
  <c r="W172" i="2" a="1"/>
  <c r="W172" i="2"/>
  <c r="N173" i="2"/>
  <c r="Q173" i="2"/>
  <c r="W173" i="2" a="1"/>
  <c r="W173" i="2"/>
  <c r="N174" i="2"/>
  <c r="Q174" i="2"/>
  <c r="W174" i="2" a="1"/>
  <c r="W174" i="2"/>
  <c r="N175" i="2"/>
  <c r="Q175" i="2"/>
  <c r="W175" i="2" a="1"/>
  <c r="W175" i="2"/>
  <c r="N176" i="2"/>
  <c r="Q176" i="2"/>
  <c r="W176" i="2" a="1"/>
  <c r="W176" i="2"/>
  <c r="N177" i="2"/>
  <c r="Q177" i="2"/>
  <c r="W177" i="2" a="1"/>
  <c r="W177" i="2"/>
  <c r="N178" i="2"/>
  <c r="Q178" i="2"/>
  <c r="W178" i="2" a="1"/>
  <c r="W178" i="2"/>
  <c r="N179" i="2"/>
  <c r="Q179" i="2"/>
  <c r="W179" i="2" a="1"/>
  <c r="W179" i="2"/>
  <c r="N180" i="2"/>
  <c r="Q180" i="2"/>
  <c r="W180" i="2" a="1"/>
  <c r="W180" i="2"/>
  <c r="N181" i="2"/>
  <c r="Q181" i="2"/>
  <c r="W181" i="2" a="1"/>
  <c r="W181" i="2"/>
  <c r="N182" i="2"/>
  <c r="Q182" i="2"/>
  <c r="W182" i="2" a="1"/>
  <c r="W182" i="2"/>
  <c r="N183" i="2"/>
  <c r="Q183" i="2"/>
  <c r="W183" i="2" a="1"/>
  <c r="W183" i="2"/>
  <c r="N184" i="2"/>
  <c r="Q184" i="2"/>
  <c r="W184" i="2" a="1"/>
  <c r="W184" i="2"/>
  <c r="N185" i="2"/>
  <c r="Q185" i="2"/>
  <c r="W185" i="2" a="1"/>
  <c r="W185" i="2"/>
  <c r="N186" i="2"/>
  <c r="Q186" i="2"/>
  <c r="W186" i="2" a="1"/>
  <c r="W186" i="2"/>
  <c r="N187" i="2"/>
  <c r="Q187" i="2"/>
  <c r="W187" i="2" a="1"/>
  <c r="W187" i="2"/>
  <c r="N188" i="2"/>
  <c r="Q188" i="2"/>
  <c r="W188" i="2" a="1"/>
  <c r="W188" i="2"/>
  <c r="N189" i="2"/>
  <c r="Q189" i="2"/>
  <c r="W189" i="2" a="1"/>
  <c r="W189" i="2"/>
  <c r="N190" i="2"/>
  <c r="Q190" i="2"/>
  <c r="W190" i="2" a="1"/>
  <c r="W190" i="2"/>
  <c r="N191" i="2"/>
  <c r="Q191" i="2"/>
  <c r="W191" i="2" a="1"/>
  <c r="W191" i="2"/>
  <c r="N192" i="2"/>
  <c r="Q192" i="2"/>
  <c r="W192" i="2" a="1"/>
  <c r="W192" i="2"/>
  <c r="N193" i="2"/>
  <c r="Q193" i="2"/>
  <c r="W193" i="2" a="1"/>
  <c r="W193" i="2"/>
  <c r="N194" i="2"/>
  <c r="Q194" i="2"/>
  <c r="W194" i="2" a="1"/>
  <c r="W194" i="2"/>
  <c r="N195" i="2"/>
  <c r="Q195" i="2"/>
  <c r="W195" i="2" a="1"/>
  <c r="W195" i="2"/>
  <c r="N196" i="2"/>
  <c r="Q196" i="2"/>
  <c r="W196" i="2" a="1"/>
  <c r="W196" i="2"/>
  <c r="N197" i="2"/>
  <c r="Q197" i="2"/>
  <c r="W197" i="2" a="1"/>
  <c r="W197" i="2"/>
  <c r="N198" i="2"/>
  <c r="Q198" i="2"/>
  <c r="W198" i="2" a="1"/>
  <c r="W198" i="2"/>
  <c r="N199" i="2"/>
  <c r="Q199" i="2"/>
  <c r="W199" i="2" a="1"/>
  <c r="W199" i="2"/>
  <c r="N200" i="2"/>
  <c r="Q200" i="2"/>
  <c r="W200" i="2" a="1"/>
  <c r="W200" i="2"/>
  <c r="N201" i="2"/>
  <c r="Q201" i="2"/>
  <c r="W201" i="2" a="1"/>
  <c r="W201" i="2"/>
  <c r="N202" i="2"/>
  <c r="Q202" i="2"/>
  <c r="W202" i="2" a="1"/>
  <c r="W202" i="2"/>
  <c r="N203" i="2"/>
  <c r="Q203" i="2"/>
  <c r="W203" i="2" a="1"/>
  <c r="W203" i="2"/>
  <c r="N204" i="2"/>
  <c r="Q204" i="2"/>
  <c r="W204" i="2" a="1"/>
  <c r="W204" i="2"/>
  <c r="N205" i="2"/>
  <c r="Q205" i="2"/>
  <c r="W205" i="2" a="1"/>
  <c r="W205" i="2"/>
  <c r="N206" i="2"/>
  <c r="Q206" i="2"/>
  <c r="W206" i="2" a="1"/>
  <c r="W206" i="2"/>
  <c r="N207" i="2"/>
  <c r="Q207" i="2"/>
  <c r="W207" i="2" a="1"/>
  <c r="W207" i="2"/>
  <c r="N208" i="2"/>
  <c r="Q208" i="2"/>
  <c r="W208" i="2" a="1"/>
  <c r="W208" i="2"/>
  <c r="N209" i="2"/>
  <c r="Q209" i="2"/>
  <c r="W209" i="2" a="1"/>
  <c r="W209" i="2"/>
  <c r="N210" i="2"/>
  <c r="Q210" i="2"/>
  <c r="W210" i="2" a="1"/>
  <c r="W210" i="2"/>
  <c r="N211" i="2"/>
  <c r="Q211" i="2"/>
  <c r="W211" i="2" a="1"/>
  <c r="W211" i="2"/>
  <c r="N212" i="2"/>
  <c r="Q212" i="2"/>
  <c r="W212" i="2" a="1"/>
  <c r="W212" i="2"/>
  <c r="N213" i="2"/>
  <c r="Q213" i="2"/>
  <c r="W213" i="2" a="1"/>
  <c r="W213" i="2"/>
  <c r="N214" i="2"/>
  <c r="Q214" i="2"/>
  <c r="W214" i="2" a="1"/>
  <c r="W214" i="2"/>
  <c r="N215" i="2"/>
  <c r="Q215" i="2"/>
  <c r="W215" i="2" a="1"/>
  <c r="W215" i="2"/>
  <c r="N216" i="2"/>
  <c r="Q216" i="2"/>
  <c r="W216" i="2" a="1"/>
  <c r="W216" i="2"/>
  <c r="N217" i="2"/>
  <c r="Q217" i="2"/>
  <c r="W217" i="2" a="1"/>
  <c r="W217" i="2"/>
  <c r="N218" i="2"/>
  <c r="Q218" i="2"/>
  <c r="W218" i="2" a="1"/>
  <c r="W218" i="2"/>
  <c r="N219" i="2"/>
  <c r="Q219" i="2"/>
  <c r="W219" i="2" a="1"/>
  <c r="W219" i="2"/>
  <c r="N220" i="2"/>
  <c r="Q220" i="2"/>
  <c r="W220" i="2" a="1"/>
  <c r="W220" i="2"/>
  <c r="N221" i="2"/>
  <c r="Q221" i="2"/>
  <c r="W221" i="2" a="1"/>
  <c r="W221" i="2"/>
  <c r="N222" i="2"/>
  <c r="Q222" i="2"/>
  <c r="W222" i="2" a="1"/>
  <c r="W222" i="2"/>
  <c r="N223" i="2"/>
  <c r="Q223" i="2"/>
  <c r="W223" i="2" a="1"/>
  <c r="W223" i="2"/>
  <c r="N224" i="2"/>
  <c r="Q224" i="2"/>
  <c r="W224" i="2" a="1"/>
  <c r="W224" i="2"/>
  <c r="N225" i="2"/>
  <c r="Q225" i="2"/>
  <c r="W225" i="2" a="1"/>
  <c r="W225" i="2"/>
  <c r="N226" i="2"/>
  <c r="Q226" i="2"/>
  <c r="W226" i="2" a="1"/>
  <c r="W226" i="2"/>
  <c r="N227" i="2"/>
  <c r="Q227" i="2"/>
  <c r="W227" i="2" a="1"/>
  <c r="W227" i="2"/>
  <c r="N228" i="2"/>
  <c r="Q228" i="2"/>
  <c r="W228" i="2" a="1"/>
  <c r="W228" i="2"/>
  <c r="N229" i="2"/>
  <c r="Q229" i="2"/>
  <c r="W229" i="2" a="1"/>
  <c r="W229" i="2"/>
  <c r="N230" i="2"/>
  <c r="Q230" i="2"/>
  <c r="W230" i="2" a="1"/>
  <c r="W230" i="2"/>
  <c r="N231" i="2"/>
  <c r="Q231" i="2"/>
  <c r="W231" i="2" a="1"/>
  <c r="W231" i="2"/>
  <c r="N232" i="2"/>
  <c r="Q232" i="2"/>
  <c r="W232" i="2" a="1"/>
  <c r="W232" i="2"/>
  <c r="N233" i="2"/>
  <c r="Q233" i="2"/>
  <c r="W233" i="2" a="1"/>
  <c r="W233" i="2"/>
  <c r="N234" i="2"/>
  <c r="Q234" i="2"/>
  <c r="W234" i="2" a="1"/>
  <c r="W234" i="2"/>
  <c r="N235" i="2"/>
  <c r="Q235" i="2"/>
  <c r="W235" i="2" a="1"/>
  <c r="W235" i="2"/>
  <c r="N236" i="2"/>
  <c r="Q236" i="2"/>
  <c r="W236" i="2" a="1"/>
  <c r="W236" i="2"/>
  <c r="N237" i="2"/>
  <c r="Q237" i="2"/>
  <c r="W237" i="2" a="1"/>
  <c r="W237" i="2"/>
  <c r="N238" i="2"/>
  <c r="Q238" i="2"/>
  <c r="W238" i="2" a="1"/>
  <c r="W238" i="2"/>
  <c r="N239" i="2"/>
  <c r="Q239" i="2"/>
  <c r="W239" i="2" a="1"/>
  <c r="W239" i="2"/>
  <c r="N240" i="2"/>
  <c r="Q240" i="2"/>
  <c r="W240" i="2" a="1"/>
  <c r="W240" i="2"/>
  <c r="N241" i="2"/>
  <c r="Q241" i="2"/>
  <c r="W241" i="2" a="1"/>
  <c r="W241" i="2"/>
  <c r="N242" i="2"/>
  <c r="Q242" i="2"/>
  <c r="W242" i="2" a="1"/>
  <c r="W242" i="2"/>
  <c r="N243" i="2"/>
  <c r="Q243" i="2"/>
  <c r="W243" i="2" a="1"/>
  <c r="W243" i="2"/>
  <c r="N244" i="2"/>
  <c r="Q244" i="2"/>
  <c r="W244" i="2" a="1"/>
  <c r="W244" i="2"/>
  <c r="N245" i="2"/>
  <c r="Q245" i="2"/>
  <c r="W245" i="2" a="1"/>
  <c r="W245" i="2"/>
  <c r="N246" i="2"/>
  <c r="Q246" i="2"/>
  <c r="W246" i="2" a="1"/>
  <c r="W246" i="2"/>
  <c r="N247" i="2"/>
  <c r="Q247" i="2"/>
  <c r="W247" i="2" a="1"/>
  <c r="W247" i="2"/>
  <c r="N248" i="2"/>
  <c r="Q248" i="2"/>
  <c r="W248" i="2" a="1"/>
  <c r="W248" i="2"/>
  <c r="N249" i="2"/>
  <c r="Q249" i="2"/>
  <c r="W249" i="2" a="1"/>
  <c r="W249" i="2"/>
  <c r="N250" i="2"/>
  <c r="Q250" i="2"/>
  <c r="W250" i="2" a="1"/>
  <c r="W250" i="2"/>
  <c r="N251" i="2"/>
  <c r="Q251" i="2"/>
  <c r="W251" i="2" a="1"/>
  <c r="W251" i="2"/>
  <c r="N252" i="2"/>
  <c r="Q252" i="2"/>
  <c r="W252" i="2" a="1"/>
  <c r="W252" i="2"/>
  <c r="N253" i="2"/>
  <c r="Q253" i="2"/>
  <c r="W253" i="2" a="1"/>
  <c r="W253" i="2"/>
  <c r="N254" i="2"/>
  <c r="Q254" i="2"/>
  <c r="W254" i="2" a="1"/>
  <c r="W254" i="2"/>
  <c r="N255" i="2"/>
  <c r="Q255" i="2"/>
  <c r="W255" i="2" a="1"/>
  <c r="W255" i="2"/>
  <c r="N256" i="2"/>
  <c r="Q256" i="2"/>
  <c r="W256" i="2" a="1"/>
  <c r="W256" i="2"/>
  <c r="N257" i="2"/>
  <c r="Q257" i="2"/>
  <c r="W257" i="2" a="1"/>
  <c r="W257" i="2"/>
  <c r="N258" i="2"/>
  <c r="Q258" i="2"/>
  <c r="W258" i="2" a="1"/>
  <c r="W258" i="2"/>
  <c r="N259" i="2"/>
  <c r="Q259" i="2"/>
  <c r="W259" i="2" a="1"/>
  <c r="W259" i="2"/>
  <c r="N260" i="2"/>
  <c r="Q260" i="2"/>
  <c r="W260" i="2" a="1"/>
  <c r="W260" i="2"/>
  <c r="N261" i="2"/>
  <c r="Q261" i="2"/>
  <c r="W261" i="2" a="1"/>
  <c r="W261" i="2"/>
  <c r="N262" i="2"/>
  <c r="Q262" i="2"/>
  <c r="W262" i="2" a="1"/>
  <c r="W262" i="2"/>
  <c r="N263" i="2"/>
  <c r="Q263" i="2"/>
  <c r="W263" i="2" a="1"/>
  <c r="W263" i="2"/>
  <c r="N264" i="2"/>
  <c r="Q264" i="2"/>
  <c r="W264" i="2" a="1"/>
  <c r="W264" i="2"/>
  <c r="N265" i="2"/>
  <c r="Q265" i="2"/>
  <c r="W265" i="2" a="1"/>
  <c r="W265" i="2"/>
  <c r="N266" i="2"/>
  <c r="Q266" i="2"/>
  <c r="W266" i="2" a="1"/>
  <c r="W266" i="2"/>
  <c r="N267" i="2"/>
  <c r="Q267" i="2"/>
  <c r="W267" i="2" a="1"/>
  <c r="W267" i="2"/>
  <c r="N268" i="2"/>
  <c r="Q268" i="2"/>
  <c r="W268" i="2" a="1"/>
  <c r="W268" i="2"/>
  <c r="N269" i="2"/>
  <c r="Q269" i="2"/>
  <c r="W269" i="2" a="1"/>
  <c r="W269" i="2"/>
  <c r="N270" i="2"/>
  <c r="Q270" i="2"/>
  <c r="W270" i="2" a="1"/>
  <c r="W270" i="2"/>
  <c r="N271" i="2"/>
  <c r="Q271" i="2"/>
  <c r="W271" i="2" a="1"/>
  <c r="W271" i="2"/>
  <c r="N272" i="2"/>
  <c r="Q272" i="2"/>
  <c r="W272" i="2" a="1"/>
  <c r="W272" i="2"/>
  <c r="N273" i="2"/>
  <c r="Q273" i="2"/>
  <c r="W273" i="2" a="1"/>
  <c r="W273" i="2"/>
  <c r="N274" i="2"/>
  <c r="Q274" i="2"/>
  <c r="W274" i="2" a="1"/>
  <c r="W274" i="2"/>
  <c r="N275" i="2"/>
  <c r="Q275" i="2"/>
  <c r="W275" i="2" a="1"/>
  <c r="W275" i="2"/>
  <c r="N276" i="2"/>
  <c r="Q276" i="2"/>
  <c r="W276" i="2" a="1"/>
  <c r="W276" i="2"/>
  <c r="N277" i="2"/>
  <c r="Q277" i="2"/>
  <c r="W277" i="2" a="1"/>
  <c r="W277" i="2"/>
  <c r="N278" i="2"/>
  <c r="Q278" i="2"/>
  <c r="W278" i="2" a="1"/>
  <c r="W278" i="2"/>
  <c r="N279" i="2"/>
  <c r="Q279" i="2"/>
  <c r="W279" i="2" a="1"/>
  <c r="W279" i="2"/>
  <c r="N280" i="2"/>
  <c r="Q280" i="2"/>
  <c r="W280" i="2" a="1"/>
  <c r="W280" i="2"/>
  <c r="N281" i="2"/>
  <c r="Q281" i="2"/>
  <c r="W281" i="2" a="1"/>
  <c r="W281" i="2"/>
  <c r="N282" i="2"/>
  <c r="Q282" i="2"/>
  <c r="W282" i="2" a="1"/>
  <c r="W282" i="2"/>
  <c r="N283" i="2"/>
  <c r="Q283" i="2"/>
  <c r="W283" i="2" a="1"/>
  <c r="W283" i="2"/>
  <c r="N284" i="2"/>
  <c r="Q284" i="2"/>
  <c r="W284" i="2" a="1"/>
  <c r="W284" i="2"/>
  <c r="N285" i="2"/>
  <c r="Q285" i="2"/>
  <c r="W285" i="2" a="1"/>
  <c r="W285" i="2"/>
  <c r="N286" i="2"/>
  <c r="Q286" i="2"/>
  <c r="W286" i="2" a="1"/>
  <c r="W286" i="2"/>
  <c r="N287" i="2"/>
  <c r="Q287" i="2"/>
  <c r="W287" i="2" a="1"/>
  <c r="W287" i="2"/>
  <c r="N288" i="2"/>
  <c r="Q288" i="2"/>
  <c r="W288" i="2" a="1"/>
  <c r="W288" i="2"/>
  <c r="N289" i="2"/>
  <c r="Q289" i="2"/>
  <c r="W289" i="2" a="1"/>
  <c r="W289" i="2"/>
  <c r="N290" i="2"/>
  <c r="Q290" i="2"/>
  <c r="W290" i="2" a="1"/>
  <c r="W290" i="2"/>
  <c r="N291" i="2"/>
  <c r="Q291" i="2"/>
  <c r="W291" i="2" a="1"/>
  <c r="W291" i="2"/>
  <c r="N292" i="2"/>
  <c r="Q292" i="2"/>
  <c r="W292" i="2" a="1"/>
  <c r="W292" i="2"/>
  <c r="N293" i="2"/>
  <c r="Q293" i="2"/>
  <c r="W293" i="2" a="1"/>
  <c r="W293" i="2"/>
  <c r="N294" i="2"/>
  <c r="Q294" i="2"/>
  <c r="W294" i="2" a="1"/>
  <c r="W294" i="2"/>
  <c r="N295" i="2"/>
  <c r="Q295" i="2"/>
  <c r="W295" i="2" a="1"/>
  <c r="W295" i="2"/>
  <c r="N296" i="2"/>
  <c r="Q296" i="2"/>
  <c r="W296" i="2" a="1"/>
  <c r="W296" i="2"/>
  <c r="N297" i="2"/>
  <c r="Q297" i="2"/>
  <c r="W297" i="2" a="1"/>
  <c r="W297" i="2"/>
  <c r="N298" i="2"/>
  <c r="Q298" i="2"/>
  <c r="W298" i="2" a="1"/>
  <c r="W298" i="2"/>
  <c r="N299" i="2"/>
  <c r="Q299" i="2"/>
  <c r="W299" i="2" a="1"/>
  <c r="W299" i="2"/>
  <c r="N300" i="2"/>
  <c r="Q300" i="2"/>
  <c r="W300" i="2" a="1"/>
  <c r="W300" i="2"/>
  <c r="N301" i="2"/>
  <c r="Q301" i="2"/>
  <c r="W301" i="2" a="1"/>
  <c r="W301" i="2"/>
  <c r="N302" i="2"/>
  <c r="Q302" i="2"/>
  <c r="W302" i="2" a="1"/>
  <c r="W302" i="2"/>
  <c r="N303" i="2"/>
  <c r="Q303" i="2"/>
  <c r="W303" i="2" a="1"/>
  <c r="W303" i="2"/>
  <c r="N304" i="2"/>
  <c r="Q304" i="2"/>
  <c r="W304" i="2" a="1"/>
  <c r="W304" i="2"/>
  <c r="N305" i="2"/>
  <c r="Q305" i="2"/>
  <c r="W305" i="2" a="1"/>
  <c r="W305" i="2"/>
  <c r="N306" i="2"/>
  <c r="Q306" i="2"/>
  <c r="W306" i="2" a="1"/>
  <c r="W306" i="2"/>
  <c r="N307" i="2"/>
  <c r="Q307" i="2"/>
  <c r="W307" i="2" a="1"/>
  <c r="W307" i="2"/>
  <c r="N308" i="2"/>
  <c r="Q308" i="2"/>
  <c r="W308" i="2" a="1"/>
  <c r="W308" i="2"/>
  <c r="N309" i="2"/>
  <c r="Q309" i="2"/>
  <c r="W309" i="2" a="1"/>
  <c r="W309" i="2"/>
  <c r="N310" i="2"/>
  <c r="Q310" i="2"/>
  <c r="W310" i="2" a="1"/>
  <c r="W310" i="2"/>
  <c r="N311" i="2"/>
  <c r="Q311" i="2"/>
  <c r="W311" i="2" a="1"/>
  <c r="W311" i="2"/>
  <c r="N312" i="2"/>
  <c r="Q312" i="2"/>
  <c r="W312" i="2" a="1"/>
  <c r="W312" i="2"/>
  <c r="N313" i="2"/>
  <c r="Q313" i="2"/>
  <c r="W313" i="2" a="1"/>
  <c r="W313" i="2"/>
  <c r="N314" i="2"/>
  <c r="Q314" i="2"/>
  <c r="W314" i="2" a="1"/>
  <c r="W314" i="2"/>
  <c r="N315" i="2"/>
  <c r="Q315" i="2"/>
  <c r="W315" i="2" a="1"/>
  <c r="W315" i="2"/>
  <c r="N316" i="2"/>
  <c r="Q316" i="2"/>
  <c r="W316" i="2" a="1"/>
  <c r="W316" i="2"/>
  <c r="N317" i="2"/>
  <c r="Q317" i="2"/>
  <c r="W317" i="2" a="1"/>
  <c r="W317" i="2"/>
  <c r="N318" i="2"/>
  <c r="Q318" i="2"/>
  <c r="W318" i="2" a="1"/>
  <c r="W318" i="2"/>
  <c r="N319" i="2"/>
  <c r="Q319" i="2"/>
  <c r="W319" i="2" a="1"/>
  <c r="W319" i="2"/>
  <c r="N320" i="2"/>
  <c r="Q320" i="2"/>
  <c r="W320" i="2" a="1"/>
  <c r="W320" i="2"/>
  <c r="N321" i="2"/>
  <c r="Q321" i="2"/>
  <c r="W321" i="2" a="1"/>
  <c r="W321" i="2"/>
  <c r="N322" i="2"/>
  <c r="Q322" i="2"/>
  <c r="W322" i="2" a="1"/>
  <c r="W322" i="2"/>
  <c r="N323" i="2"/>
  <c r="Q323" i="2"/>
  <c r="W323" i="2" a="1"/>
  <c r="W323" i="2"/>
  <c r="N324" i="2"/>
  <c r="Q324" i="2"/>
  <c r="W324" i="2" a="1"/>
  <c r="W324" i="2"/>
  <c r="N325" i="2"/>
  <c r="Q325" i="2"/>
  <c r="W325" i="2" a="1"/>
  <c r="W325" i="2"/>
  <c r="N326" i="2"/>
  <c r="Q326" i="2"/>
  <c r="W326" i="2" a="1"/>
  <c r="W326" i="2"/>
  <c r="N327" i="2"/>
  <c r="Q327" i="2"/>
  <c r="W327" i="2" a="1"/>
  <c r="W327" i="2"/>
  <c r="N328" i="2"/>
  <c r="Q328" i="2"/>
  <c r="W328" i="2" a="1"/>
  <c r="W328" i="2"/>
  <c r="N329" i="2"/>
  <c r="Q329" i="2"/>
  <c r="W329" i="2" a="1"/>
  <c r="W329" i="2"/>
  <c r="N330" i="2"/>
  <c r="Q330" i="2"/>
  <c r="W330" i="2" a="1"/>
  <c r="W330" i="2"/>
  <c r="N331" i="2"/>
  <c r="Q331" i="2"/>
  <c r="W331" i="2" a="1"/>
  <c r="W331" i="2"/>
  <c r="N332" i="2"/>
  <c r="Q332" i="2"/>
  <c r="W332" i="2" a="1"/>
  <c r="W332" i="2"/>
  <c r="N333" i="2"/>
  <c r="Q333" i="2"/>
  <c r="W333" i="2" a="1"/>
  <c r="W333" i="2"/>
  <c r="N334" i="2"/>
  <c r="Q334" i="2"/>
  <c r="W334" i="2" a="1"/>
  <c r="W334" i="2"/>
  <c r="N335" i="2"/>
  <c r="Q335" i="2"/>
  <c r="W335" i="2" a="1"/>
  <c r="W335" i="2"/>
  <c r="N336" i="2"/>
  <c r="Q336" i="2"/>
  <c r="W336" i="2" a="1"/>
  <c r="W336" i="2"/>
  <c r="N337" i="2"/>
  <c r="Q337" i="2"/>
  <c r="W337" i="2" a="1"/>
  <c r="W337" i="2"/>
  <c r="N338" i="2"/>
  <c r="Q338" i="2"/>
  <c r="W338" i="2" a="1"/>
  <c r="W338" i="2"/>
  <c r="N339" i="2"/>
  <c r="Q339" i="2"/>
  <c r="W339" i="2" a="1"/>
  <c r="W339" i="2"/>
  <c r="N340" i="2"/>
  <c r="Q340" i="2"/>
  <c r="W340" i="2" a="1"/>
  <c r="W340" i="2"/>
  <c r="N341" i="2"/>
  <c r="Q341" i="2"/>
  <c r="W341" i="2" a="1"/>
  <c r="W341" i="2"/>
  <c r="N342" i="2"/>
  <c r="Q342" i="2"/>
  <c r="W342" i="2" a="1"/>
  <c r="W342" i="2"/>
  <c r="N343" i="2"/>
  <c r="Q343" i="2"/>
  <c r="W343" i="2" a="1"/>
  <c r="W343" i="2"/>
  <c r="N344" i="2"/>
  <c r="Q344" i="2"/>
  <c r="W344" i="2" a="1"/>
  <c r="W344" i="2"/>
  <c r="N345" i="2"/>
  <c r="Q345" i="2"/>
  <c r="W345" i="2" a="1"/>
  <c r="W345" i="2"/>
  <c r="N346" i="2"/>
  <c r="Q346" i="2"/>
  <c r="W346" i="2" a="1"/>
  <c r="W346" i="2"/>
  <c r="N347" i="2"/>
  <c r="Q347" i="2"/>
  <c r="W347" i="2" a="1"/>
  <c r="W347" i="2"/>
  <c r="N348" i="2"/>
  <c r="Q348" i="2"/>
  <c r="W348" i="2" a="1"/>
  <c r="W348" i="2"/>
  <c r="N349" i="2"/>
  <c r="Q349" i="2"/>
  <c r="W349" i="2" a="1"/>
  <c r="W349" i="2"/>
  <c r="N350" i="2"/>
  <c r="Q350" i="2"/>
  <c r="W350" i="2" a="1"/>
  <c r="W350" i="2"/>
  <c r="N351" i="2"/>
  <c r="Q351" i="2"/>
  <c r="W351" i="2" a="1"/>
  <c r="W351" i="2"/>
  <c r="N352" i="2"/>
  <c r="Q352" i="2"/>
  <c r="W352" i="2" a="1"/>
  <c r="W352" i="2"/>
  <c r="N353" i="2"/>
  <c r="Q353" i="2"/>
  <c r="W353" i="2" a="1"/>
  <c r="W353" i="2"/>
  <c r="N354" i="2"/>
  <c r="Q354" i="2"/>
  <c r="W354" i="2" a="1"/>
  <c r="W354" i="2"/>
  <c r="N355" i="2"/>
  <c r="Q355" i="2"/>
  <c r="W355" i="2" a="1"/>
  <c r="W355" i="2"/>
  <c r="N356" i="2"/>
  <c r="Q356" i="2"/>
  <c r="W356" i="2" a="1"/>
  <c r="W356" i="2"/>
  <c r="N357" i="2"/>
  <c r="Q357" i="2"/>
  <c r="W357" i="2" a="1"/>
  <c r="W357" i="2"/>
  <c r="N358" i="2"/>
  <c r="Q358" i="2"/>
  <c r="W358" i="2" a="1"/>
  <c r="W358" i="2"/>
  <c r="N359" i="2"/>
  <c r="Q359" i="2"/>
  <c r="W359" i="2" a="1"/>
  <c r="W359" i="2"/>
  <c r="N360" i="2"/>
  <c r="Q360" i="2"/>
  <c r="W360" i="2" a="1"/>
  <c r="W360" i="2"/>
  <c r="N361" i="2"/>
  <c r="Q361" i="2"/>
  <c r="W361" i="2" a="1"/>
  <c r="W361" i="2"/>
  <c r="N362" i="2"/>
  <c r="Q362" i="2"/>
  <c r="W362" i="2" a="1"/>
  <c r="W362" i="2"/>
  <c r="N363" i="2"/>
  <c r="Q363" i="2"/>
  <c r="W363" i="2" a="1"/>
  <c r="W363" i="2"/>
  <c r="N364" i="2"/>
  <c r="Q364" i="2"/>
  <c r="W364" i="2" a="1"/>
  <c r="W364" i="2"/>
  <c r="N365" i="2"/>
  <c r="Q365" i="2"/>
  <c r="W365" i="2" a="1"/>
  <c r="W365" i="2"/>
  <c r="N366" i="2"/>
  <c r="Q366" i="2"/>
  <c r="W366" i="2" a="1"/>
  <c r="W366" i="2"/>
  <c r="N367" i="2"/>
  <c r="Q367" i="2"/>
  <c r="W367" i="2" a="1"/>
  <c r="W367" i="2"/>
  <c r="N368" i="2"/>
  <c r="Q368" i="2"/>
  <c r="W368" i="2" a="1"/>
  <c r="W368" i="2"/>
  <c r="N369" i="2"/>
  <c r="Q369" i="2"/>
  <c r="W369" i="2" a="1"/>
  <c r="W369" i="2"/>
  <c r="N370" i="2"/>
  <c r="Q370" i="2"/>
  <c r="W370" i="2" a="1"/>
  <c r="W370" i="2"/>
  <c r="N371" i="2"/>
  <c r="Q371" i="2"/>
  <c r="W371" i="2" a="1"/>
  <c r="W371" i="2"/>
  <c r="N372" i="2"/>
  <c r="Q372" i="2"/>
  <c r="W372" i="2" a="1"/>
  <c r="W372" i="2"/>
  <c r="N373" i="2"/>
  <c r="Q373" i="2"/>
  <c r="W373" i="2" a="1"/>
  <c r="W373" i="2"/>
  <c r="N374" i="2"/>
  <c r="Q374" i="2"/>
  <c r="W374" i="2" a="1"/>
  <c r="W374" i="2"/>
  <c r="N375" i="2"/>
  <c r="Q375" i="2"/>
  <c r="W375" i="2" a="1"/>
  <c r="W375" i="2"/>
  <c r="N376" i="2"/>
  <c r="Q376" i="2"/>
  <c r="W376" i="2" a="1"/>
  <c r="W376" i="2"/>
  <c r="N377" i="2"/>
  <c r="Q377" i="2"/>
  <c r="W377" i="2" a="1"/>
  <c r="W377" i="2"/>
  <c r="N378" i="2"/>
  <c r="Q378" i="2"/>
  <c r="W378" i="2" a="1"/>
  <c r="W378" i="2"/>
  <c r="N379" i="2"/>
  <c r="Q379" i="2"/>
  <c r="W379" i="2" a="1"/>
  <c r="W379" i="2"/>
  <c r="N380" i="2"/>
  <c r="Q380" i="2"/>
  <c r="W380" i="2" a="1"/>
  <c r="W380" i="2"/>
  <c r="N381" i="2"/>
  <c r="Q381" i="2"/>
  <c r="W381" i="2" a="1"/>
  <c r="W381" i="2"/>
  <c r="N382" i="2"/>
  <c r="Q382" i="2"/>
  <c r="W382" i="2" a="1"/>
  <c r="W382" i="2"/>
  <c r="N383" i="2"/>
  <c r="Q383" i="2"/>
  <c r="W383" i="2" a="1"/>
  <c r="W383" i="2"/>
  <c r="N384" i="2"/>
  <c r="Q384" i="2"/>
  <c r="W384" i="2" a="1"/>
  <c r="W384" i="2"/>
  <c r="N385" i="2"/>
  <c r="Q385" i="2"/>
  <c r="W385" i="2" a="1"/>
  <c r="W385" i="2"/>
  <c r="N386" i="2"/>
  <c r="Q386" i="2"/>
  <c r="W386" i="2" a="1"/>
  <c r="W386" i="2"/>
  <c r="N387" i="2"/>
  <c r="Q387" i="2"/>
  <c r="W387" i="2" a="1"/>
  <c r="W387" i="2"/>
  <c r="N388" i="2"/>
  <c r="Q388" i="2"/>
  <c r="W388" i="2" a="1"/>
  <c r="W388" i="2"/>
  <c r="N389" i="2"/>
  <c r="Q389" i="2"/>
  <c r="W389" i="2" a="1"/>
  <c r="W389" i="2"/>
  <c r="N390" i="2"/>
  <c r="Q390" i="2"/>
  <c r="W390" i="2" a="1"/>
  <c r="W390" i="2"/>
  <c r="N391" i="2"/>
  <c r="Q391" i="2"/>
  <c r="W391" i="2" a="1"/>
  <c r="W391" i="2"/>
  <c r="N392" i="2"/>
  <c r="Q392" i="2"/>
  <c r="W392" i="2" a="1"/>
  <c r="W392" i="2"/>
  <c r="N393" i="2"/>
  <c r="Q393" i="2"/>
  <c r="W393" i="2" a="1"/>
  <c r="W393" i="2"/>
  <c r="N394" i="2"/>
  <c r="Q394" i="2"/>
  <c r="W394" i="2" a="1"/>
  <c r="W394" i="2"/>
  <c r="N395" i="2"/>
  <c r="Q395" i="2"/>
  <c r="W395" i="2" a="1"/>
  <c r="W395" i="2"/>
  <c r="N396" i="2"/>
  <c r="Q396" i="2"/>
  <c r="W396" i="2" a="1"/>
  <c r="W396" i="2"/>
  <c r="N397" i="2"/>
  <c r="Q397" i="2"/>
  <c r="W397" i="2" a="1"/>
  <c r="W397" i="2"/>
  <c r="N398" i="2"/>
  <c r="Q398" i="2"/>
  <c r="W398" i="2" a="1"/>
  <c r="W398" i="2"/>
  <c r="N399" i="2"/>
  <c r="Q399" i="2"/>
  <c r="W399" i="2" a="1"/>
  <c r="W399" i="2"/>
  <c r="N400" i="2"/>
  <c r="Q400" i="2"/>
  <c r="W400" i="2" a="1"/>
  <c r="W400" i="2"/>
  <c r="N401" i="2"/>
  <c r="Q401" i="2"/>
  <c r="W401" i="2" a="1"/>
  <c r="W401" i="2"/>
  <c r="N402" i="2"/>
  <c r="Q402" i="2"/>
  <c r="W402" i="2" a="1"/>
  <c r="W402" i="2"/>
  <c r="N403" i="2"/>
  <c r="Q403" i="2"/>
  <c r="W403" i="2" a="1"/>
  <c r="W403" i="2"/>
  <c r="N404" i="2"/>
  <c r="Q404" i="2"/>
  <c r="W404" i="2" a="1"/>
  <c r="W404" i="2"/>
  <c r="N405" i="2"/>
  <c r="Q405" i="2"/>
  <c r="W405" i="2" a="1"/>
  <c r="W405" i="2"/>
  <c r="N406" i="2"/>
  <c r="Q406" i="2"/>
  <c r="W406" i="2" a="1"/>
  <c r="W406" i="2"/>
  <c r="N407" i="2"/>
  <c r="Q407" i="2"/>
  <c r="W407" i="2" a="1"/>
  <c r="W407" i="2"/>
  <c r="N408" i="2"/>
  <c r="Q408" i="2"/>
  <c r="W408" i="2" a="1"/>
  <c r="W408" i="2"/>
  <c r="N409" i="2"/>
  <c r="Q409" i="2"/>
  <c r="W409" i="2" a="1"/>
  <c r="W409" i="2"/>
  <c r="N410" i="2"/>
  <c r="Q410" i="2"/>
  <c r="W410" i="2" a="1"/>
  <c r="W410" i="2"/>
  <c r="N411" i="2"/>
  <c r="Q411" i="2"/>
  <c r="W411" i="2" a="1"/>
  <c r="W411" i="2"/>
  <c r="N412" i="2"/>
  <c r="Q412" i="2"/>
  <c r="W412" i="2" a="1"/>
  <c r="W412" i="2"/>
  <c r="N413" i="2"/>
  <c r="Q413" i="2"/>
  <c r="W413" i="2" a="1"/>
  <c r="W413" i="2"/>
  <c r="N414" i="2"/>
  <c r="Q414" i="2"/>
  <c r="W414" i="2" a="1"/>
  <c r="W414" i="2"/>
  <c r="N415" i="2"/>
  <c r="Q415" i="2"/>
  <c r="W415" i="2" a="1"/>
  <c r="W415" i="2"/>
  <c r="N416" i="2"/>
  <c r="Q416" i="2"/>
  <c r="W416" i="2" a="1"/>
  <c r="W416" i="2"/>
  <c r="N417" i="2"/>
  <c r="Q417" i="2"/>
  <c r="W417" i="2" a="1"/>
  <c r="W417" i="2"/>
  <c r="N418" i="2"/>
  <c r="Q418" i="2"/>
  <c r="W418" i="2" a="1"/>
  <c r="W418" i="2"/>
  <c r="N419" i="2"/>
  <c r="Q419" i="2"/>
  <c r="W419" i="2" a="1"/>
  <c r="W419" i="2"/>
  <c r="N420" i="2"/>
  <c r="Q420" i="2"/>
  <c r="W420" i="2" a="1"/>
  <c r="W420" i="2"/>
  <c r="N421" i="2"/>
  <c r="Q421" i="2"/>
  <c r="W421" i="2" a="1"/>
  <c r="W421" i="2"/>
  <c r="N422" i="2"/>
  <c r="Q422" i="2"/>
  <c r="W422" i="2" a="1"/>
  <c r="W422" i="2"/>
  <c r="N423" i="2"/>
  <c r="Q423" i="2"/>
  <c r="W423" i="2" a="1"/>
  <c r="W423" i="2"/>
  <c r="N424" i="2"/>
  <c r="Q424" i="2"/>
  <c r="W424" i="2" a="1"/>
  <c r="W424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5" i="2"/>
  <c r="X94" i="2"/>
  <c r="X93" i="2"/>
  <c r="X91" i="2"/>
  <c r="X90" i="2"/>
  <c r="X89" i="2"/>
  <c r="X88" i="2"/>
  <c r="X87" i="2"/>
  <c r="X86" i="2"/>
  <c r="X85" i="2"/>
  <c r="X84" i="2"/>
  <c r="X83" i="2"/>
  <c r="X82" i="2"/>
  <c r="X81" i="2"/>
  <c r="X80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59" i="2"/>
  <c r="X58" i="2"/>
  <c r="X57" i="2"/>
  <c r="X55" i="2"/>
  <c r="X54" i="2"/>
  <c r="X53" i="2"/>
  <c r="X52" i="2"/>
  <c r="X51" i="2"/>
  <c r="X50" i="2"/>
  <c r="X49" i="2"/>
  <c r="X47" i="2"/>
  <c r="X46" i="2"/>
  <c r="X45" i="2"/>
  <c r="X44" i="2"/>
  <c r="X43" i="2"/>
  <c r="X42" i="2"/>
  <c r="X41" i="2"/>
  <c r="X40" i="2"/>
  <c r="X39" i="2"/>
  <c r="X38" i="2"/>
  <c r="X48" i="2"/>
  <c r="X396" i="2"/>
  <c r="X60" i="2"/>
  <c r="O16" i="2" a="1"/>
  <c r="O16" i="2"/>
  <c r="X96" i="2"/>
  <c r="X79" i="2"/>
  <c r="X78" i="2"/>
  <c r="X124" i="2"/>
  <c r="X56" i="2"/>
  <c r="X92" i="2"/>
  <c r="O17" i="2" a="1"/>
  <c r="O17" i="2"/>
  <c r="O18" i="2" a="1"/>
  <c r="O18" i="2"/>
  <c r="O13" i="2"/>
  <c r="P13" i="2"/>
  <c r="R48" i="2"/>
  <c r="S48" i="2"/>
  <c r="R396" i="2"/>
  <c r="S396" i="2"/>
  <c r="S60" i="2"/>
  <c r="O22" i="2" a="1"/>
  <c r="O22" i="2"/>
  <c r="R96" i="2"/>
  <c r="S96" i="2"/>
  <c r="R37" i="2"/>
  <c r="S37" i="2"/>
  <c r="R424" i="2"/>
  <c r="S424" i="2"/>
  <c r="R423" i="2"/>
  <c r="S423" i="2"/>
  <c r="R422" i="2"/>
  <c r="S422" i="2"/>
  <c r="R421" i="2"/>
  <c r="S421" i="2"/>
  <c r="R420" i="2"/>
  <c r="S420" i="2"/>
  <c r="R419" i="2"/>
  <c r="S419" i="2"/>
  <c r="R418" i="2"/>
  <c r="S418" i="2"/>
  <c r="R417" i="2"/>
  <c r="S417" i="2"/>
  <c r="R416" i="2"/>
  <c r="S416" i="2"/>
  <c r="R415" i="2"/>
  <c r="S415" i="2"/>
  <c r="R414" i="2"/>
  <c r="S414" i="2"/>
  <c r="R413" i="2"/>
  <c r="S413" i="2"/>
  <c r="R412" i="2"/>
  <c r="S412" i="2"/>
  <c r="R411" i="2"/>
  <c r="S411" i="2"/>
  <c r="R410" i="2"/>
  <c r="S410" i="2"/>
  <c r="R409" i="2"/>
  <c r="S409" i="2"/>
  <c r="R408" i="2"/>
  <c r="S408" i="2"/>
  <c r="R407" i="2"/>
  <c r="S407" i="2"/>
  <c r="R406" i="2"/>
  <c r="S406" i="2"/>
  <c r="R405" i="2"/>
  <c r="S405" i="2"/>
  <c r="R404" i="2"/>
  <c r="S404" i="2"/>
  <c r="R403" i="2"/>
  <c r="S403" i="2"/>
  <c r="R402" i="2"/>
  <c r="S402" i="2"/>
  <c r="R401" i="2"/>
  <c r="S401" i="2"/>
  <c r="R400" i="2"/>
  <c r="S400" i="2"/>
  <c r="R399" i="2"/>
  <c r="S399" i="2"/>
  <c r="R398" i="2"/>
  <c r="S398" i="2"/>
  <c r="R397" i="2"/>
  <c r="S397" i="2"/>
  <c r="R395" i="2"/>
  <c r="S395" i="2"/>
  <c r="R394" i="2"/>
  <c r="S394" i="2"/>
  <c r="R393" i="2"/>
  <c r="S393" i="2"/>
  <c r="R392" i="2"/>
  <c r="S392" i="2"/>
  <c r="R391" i="2"/>
  <c r="S391" i="2"/>
  <c r="R390" i="2"/>
  <c r="S390" i="2"/>
  <c r="R389" i="2"/>
  <c r="S389" i="2"/>
  <c r="R388" i="2"/>
  <c r="S388" i="2"/>
  <c r="R387" i="2"/>
  <c r="S387" i="2"/>
  <c r="R386" i="2"/>
  <c r="S386" i="2"/>
  <c r="R385" i="2"/>
  <c r="S385" i="2"/>
  <c r="R384" i="2"/>
  <c r="S384" i="2"/>
  <c r="R383" i="2"/>
  <c r="S383" i="2"/>
  <c r="R382" i="2"/>
  <c r="S382" i="2"/>
  <c r="R381" i="2"/>
  <c r="S381" i="2"/>
  <c r="R380" i="2"/>
  <c r="S380" i="2"/>
  <c r="R379" i="2"/>
  <c r="S379" i="2"/>
  <c r="R378" i="2"/>
  <c r="S378" i="2"/>
  <c r="R377" i="2"/>
  <c r="S377" i="2"/>
  <c r="R376" i="2"/>
  <c r="S376" i="2"/>
  <c r="R375" i="2"/>
  <c r="S375" i="2"/>
  <c r="R374" i="2"/>
  <c r="S374" i="2"/>
  <c r="R373" i="2"/>
  <c r="S373" i="2"/>
  <c r="R372" i="2"/>
  <c r="S372" i="2"/>
  <c r="R371" i="2"/>
  <c r="S371" i="2"/>
  <c r="R370" i="2"/>
  <c r="S370" i="2"/>
  <c r="R369" i="2"/>
  <c r="S369" i="2"/>
  <c r="R368" i="2"/>
  <c r="S368" i="2"/>
  <c r="R367" i="2"/>
  <c r="S367" i="2"/>
  <c r="R366" i="2"/>
  <c r="S366" i="2"/>
  <c r="R365" i="2"/>
  <c r="S365" i="2"/>
  <c r="R364" i="2"/>
  <c r="S364" i="2"/>
  <c r="R363" i="2"/>
  <c r="S363" i="2"/>
  <c r="R362" i="2"/>
  <c r="S362" i="2"/>
  <c r="R361" i="2"/>
  <c r="S361" i="2"/>
  <c r="R360" i="2"/>
  <c r="S360" i="2"/>
  <c r="R359" i="2"/>
  <c r="S359" i="2"/>
  <c r="R358" i="2"/>
  <c r="S358" i="2"/>
  <c r="R357" i="2"/>
  <c r="S357" i="2"/>
  <c r="R356" i="2"/>
  <c r="S356" i="2"/>
  <c r="R355" i="2"/>
  <c r="S355" i="2"/>
  <c r="R354" i="2"/>
  <c r="S354" i="2"/>
  <c r="R353" i="2"/>
  <c r="S353" i="2"/>
  <c r="R352" i="2"/>
  <c r="S352" i="2"/>
  <c r="R351" i="2"/>
  <c r="S351" i="2"/>
  <c r="R350" i="2"/>
  <c r="S350" i="2"/>
  <c r="R349" i="2"/>
  <c r="S349" i="2"/>
  <c r="R348" i="2"/>
  <c r="S348" i="2"/>
  <c r="R347" i="2"/>
  <c r="S347" i="2"/>
  <c r="R346" i="2"/>
  <c r="S346" i="2"/>
  <c r="R345" i="2"/>
  <c r="S345" i="2"/>
  <c r="R344" i="2"/>
  <c r="S344" i="2"/>
  <c r="R343" i="2"/>
  <c r="S343" i="2"/>
  <c r="R342" i="2"/>
  <c r="S342" i="2"/>
  <c r="R341" i="2"/>
  <c r="S341" i="2"/>
  <c r="R340" i="2"/>
  <c r="S340" i="2"/>
  <c r="R339" i="2"/>
  <c r="S339" i="2"/>
  <c r="R338" i="2"/>
  <c r="S338" i="2"/>
  <c r="R337" i="2"/>
  <c r="S337" i="2"/>
  <c r="R336" i="2"/>
  <c r="S336" i="2"/>
  <c r="R335" i="2"/>
  <c r="S335" i="2"/>
  <c r="R334" i="2"/>
  <c r="S334" i="2"/>
  <c r="R333" i="2"/>
  <c r="S333" i="2"/>
  <c r="R332" i="2"/>
  <c r="S332" i="2"/>
  <c r="R331" i="2"/>
  <c r="S331" i="2"/>
  <c r="R330" i="2"/>
  <c r="S330" i="2"/>
  <c r="R329" i="2"/>
  <c r="S329" i="2"/>
  <c r="R328" i="2"/>
  <c r="S328" i="2"/>
  <c r="R327" i="2"/>
  <c r="S327" i="2"/>
  <c r="R326" i="2"/>
  <c r="S326" i="2"/>
  <c r="R325" i="2"/>
  <c r="S325" i="2"/>
  <c r="R324" i="2"/>
  <c r="S324" i="2"/>
  <c r="R323" i="2"/>
  <c r="S323" i="2"/>
  <c r="R322" i="2"/>
  <c r="S322" i="2"/>
  <c r="R321" i="2"/>
  <c r="S321" i="2"/>
  <c r="R320" i="2"/>
  <c r="S320" i="2"/>
  <c r="R319" i="2"/>
  <c r="S319" i="2"/>
  <c r="R318" i="2"/>
  <c r="S318" i="2"/>
  <c r="R317" i="2"/>
  <c r="S317" i="2"/>
  <c r="R316" i="2"/>
  <c r="S316" i="2"/>
  <c r="R315" i="2"/>
  <c r="S315" i="2"/>
  <c r="R314" i="2"/>
  <c r="S314" i="2"/>
  <c r="R313" i="2"/>
  <c r="S313" i="2"/>
  <c r="R312" i="2"/>
  <c r="S312" i="2"/>
  <c r="R311" i="2"/>
  <c r="S311" i="2"/>
  <c r="R310" i="2"/>
  <c r="S310" i="2"/>
  <c r="R309" i="2"/>
  <c r="S309" i="2"/>
  <c r="R308" i="2"/>
  <c r="S308" i="2"/>
  <c r="R307" i="2"/>
  <c r="S307" i="2"/>
  <c r="R306" i="2"/>
  <c r="S306" i="2"/>
  <c r="R305" i="2"/>
  <c r="S305" i="2"/>
  <c r="R304" i="2"/>
  <c r="S304" i="2"/>
  <c r="R303" i="2"/>
  <c r="S303" i="2"/>
  <c r="R302" i="2"/>
  <c r="S302" i="2"/>
  <c r="R301" i="2"/>
  <c r="S301" i="2"/>
  <c r="R300" i="2"/>
  <c r="S300" i="2"/>
  <c r="R299" i="2"/>
  <c r="S299" i="2"/>
  <c r="R298" i="2"/>
  <c r="S298" i="2"/>
  <c r="R297" i="2"/>
  <c r="S297" i="2"/>
  <c r="R296" i="2"/>
  <c r="S296" i="2"/>
  <c r="R295" i="2"/>
  <c r="S295" i="2"/>
  <c r="R294" i="2"/>
  <c r="S294" i="2"/>
  <c r="R293" i="2"/>
  <c r="S293" i="2"/>
  <c r="R292" i="2"/>
  <c r="S292" i="2"/>
  <c r="R291" i="2"/>
  <c r="S291" i="2"/>
  <c r="R290" i="2"/>
  <c r="S290" i="2"/>
  <c r="R289" i="2"/>
  <c r="S289" i="2"/>
  <c r="R288" i="2"/>
  <c r="S288" i="2"/>
  <c r="R287" i="2"/>
  <c r="S287" i="2"/>
  <c r="R286" i="2"/>
  <c r="S286" i="2"/>
  <c r="R285" i="2"/>
  <c r="S285" i="2"/>
  <c r="R284" i="2"/>
  <c r="S284" i="2"/>
  <c r="R283" i="2"/>
  <c r="S283" i="2"/>
  <c r="R282" i="2"/>
  <c r="S282" i="2"/>
  <c r="R281" i="2"/>
  <c r="S281" i="2"/>
  <c r="R280" i="2"/>
  <c r="S280" i="2"/>
  <c r="R279" i="2"/>
  <c r="S279" i="2"/>
  <c r="R278" i="2"/>
  <c r="S278" i="2"/>
  <c r="R277" i="2"/>
  <c r="S277" i="2"/>
  <c r="R276" i="2"/>
  <c r="S276" i="2"/>
  <c r="R275" i="2"/>
  <c r="S275" i="2"/>
  <c r="R274" i="2"/>
  <c r="S274" i="2"/>
  <c r="R273" i="2"/>
  <c r="S273" i="2"/>
  <c r="R272" i="2"/>
  <c r="S272" i="2"/>
  <c r="R271" i="2"/>
  <c r="S271" i="2"/>
  <c r="R270" i="2"/>
  <c r="S270" i="2"/>
  <c r="R269" i="2"/>
  <c r="S269" i="2"/>
  <c r="R268" i="2"/>
  <c r="S268" i="2"/>
  <c r="R267" i="2"/>
  <c r="S267" i="2"/>
  <c r="R266" i="2"/>
  <c r="S266" i="2"/>
  <c r="R265" i="2"/>
  <c r="S265" i="2"/>
  <c r="R264" i="2"/>
  <c r="S264" i="2"/>
  <c r="R263" i="2"/>
  <c r="S263" i="2"/>
  <c r="R262" i="2"/>
  <c r="S262" i="2"/>
  <c r="R261" i="2"/>
  <c r="S261" i="2"/>
  <c r="R260" i="2"/>
  <c r="S260" i="2"/>
  <c r="R259" i="2"/>
  <c r="S259" i="2"/>
  <c r="R258" i="2"/>
  <c r="S258" i="2"/>
  <c r="R257" i="2"/>
  <c r="S257" i="2"/>
  <c r="R256" i="2"/>
  <c r="S256" i="2"/>
  <c r="R255" i="2"/>
  <c r="S255" i="2"/>
  <c r="R254" i="2"/>
  <c r="S254" i="2"/>
  <c r="R253" i="2"/>
  <c r="S253" i="2"/>
  <c r="R252" i="2"/>
  <c r="S252" i="2"/>
  <c r="R251" i="2"/>
  <c r="S251" i="2"/>
  <c r="R250" i="2"/>
  <c r="S250" i="2"/>
  <c r="R249" i="2"/>
  <c r="S249" i="2"/>
  <c r="R248" i="2"/>
  <c r="S248" i="2"/>
  <c r="R247" i="2"/>
  <c r="S247" i="2"/>
  <c r="R246" i="2"/>
  <c r="S246" i="2"/>
  <c r="R245" i="2"/>
  <c r="S245" i="2"/>
  <c r="R244" i="2"/>
  <c r="S244" i="2"/>
  <c r="R243" i="2"/>
  <c r="S243" i="2"/>
  <c r="R242" i="2"/>
  <c r="S242" i="2"/>
  <c r="R241" i="2"/>
  <c r="S241" i="2"/>
  <c r="R240" i="2"/>
  <c r="S240" i="2"/>
  <c r="R239" i="2"/>
  <c r="S239" i="2"/>
  <c r="R238" i="2"/>
  <c r="S238" i="2"/>
  <c r="R237" i="2"/>
  <c r="S237" i="2"/>
  <c r="R236" i="2"/>
  <c r="S236" i="2"/>
  <c r="R235" i="2"/>
  <c r="S235" i="2"/>
  <c r="R234" i="2"/>
  <c r="S234" i="2"/>
  <c r="R233" i="2"/>
  <c r="S233" i="2"/>
  <c r="R232" i="2"/>
  <c r="S232" i="2"/>
  <c r="R231" i="2"/>
  <c r="S231" i="2"/>
  <c r="R230" i="2"/>
  <c r="S230" i="2"/>
  <c r="R229" i="2"/>
  <c r="S229" i="2"/>
  <c r="R228" i="2"/>
  <c r="S228" i="2"/>
  <c r="R227" i="2"/>
  <c r="S227" i="2"/>
  <c r="R226" i="2"/>
  <c r="S226" i="2"/>
  <c r="R225" i="2"/>
  <c r="S225" i="2"/>
  <c r="R224" i="2"/>
  <c r="S224" i="2"/>
  <c r="R223" i="2"/>
  <c r="S223" i="2"/>
  <c r="R222" i="2"/>
  <c r="S222" i="2"/>
  <c r="R221" i="2"/>
  <c r="S221" i="2"/>
  <c r="R220" i="2"/>
  <c r="S220" i="2"/>
  <c r="R219" i="2"/>
  <c r="S219" i="2"/>
  <c r="R218" i="2"/>
  <c r="S218" i="2"/>
  <c r="R217" i="2"/>
  <c r="S217" i="2"/>
  <c r="R216" i="2"/>
  <c r="S216" i="2"/>
  <c r="R215" i="2"/>
  <c r="S215" i="2"/>
  <c r="R214" i="2"/>
  <c r="S214" i="2"/>
  <c r="R213" i="2"/>
  <c r="S213" i="2"/>
  <c r="R212" i="2"/>
  <c r="S212" i="2"/>
  <c r="R211" i="2"/>
  <c r="S211" i="2"/>
  <c r="R210" i="2"/>
  <c r="S210" i="2"/>
  <c r="R209" i="2"/>
  <c r="S209" i="2"/>
  <c r="R208" i="2"/>
  <c r="S208" i="2"/>
  <c r="R207" i="2"/>
  <c r="S207" i="2"/>
  <c r="R206" i="2"/>
  <c r="S206" i="2"/>
  <c r="R205" i="2"/>
  <c r="S205" i="2"/>
  <c r="R204" i="2"/>
  <c r="S204" i="2"/>
  <c r="R203" i="2"/>
  <c r="S203" i="2"/>
  <c r="R202" i="2"/>
  <c r="S202" i="2"/>
  <c r="R201" i="2"/>
  <c r="S201" i="2"/>
  <c r="R200" i="2"/>
  <c r="S200" i="2"/>
  <c r="R199" i="2"/>
  <c r="S199" i="2"/>
  <c r="R198" i="2"/>
  <c r="S198" i="2"/>
  <c r="R197" i="2"/>
  <c r="S197" i="2"/>
  <c r="R196" i="2"/>
  <c r="S196" i="2"/>
  <c r="R195" i="2"/>
  <c r="S195" i="2"/>
  <c r="R194" i="2"/>
  <c r="S194" i="2"/>
  <c r="R193" i="2"/>
  <c r="S193" i="2"/>
  <c r="R192" i="2"/>
  <c r="S192" i="2"/>
  <c r="R191" i="2"/>
  <c r="S191" i="2"/>
  <c r="R190" i="2"/>
  <c r="S190" i="2"/>
  <c r="R189" i="2"/>
  <c r="S189" i="2"/>
  <c r="R188" i="2"/>
  <c r="S188" i="2"/>
  <c r="R187" i="2"/>
  <c r="S187" i="2"/>
  <c r="R186" i="2"/>
  <c r="S186" i="2"/>
  <c r="R185" i="2"/>
  <c r="S185" i="2"/>
  <c r="R184" i="2"/>
  <c r="S184" i="2"/>
  <c r="R183" i="2"/>
  <c r="S183" i="2"/>
  <c r="R182" i="2"/>
  <c r="S182" i="2"/>
  <c r="R181" i="2"/>
  <c r="S181" i="2"/>
  <c r="R180" i="2"/>
  <c r="S180" i="2"/>
  <c r="R179" i="2"/>
  <c r="S179" i="2"/>
  <c r="R178" i="2"/>
  <c r="S178" i="2"/>
  <c r="R177" i="2"/>
  <c r="S177" i="2"/>
  <c r="R176" i="2"/>
  <c r="S176" i="2"/>
  <c r="R175" i="2"/>
  <c r="S175" i="2"/>
  <c r="R174" i="2"/>
  <c r="S174" i="2"/>
  <c r="R173" i="2"/>
  <c r="S173" i="2"/>
  <c r="R172" i="2"/>
  <c r="S172" i="2"/>
  <c r="R171" i="2"/>
  <c r="S171" i="2"/>
  <c r="R170" i="2"/>
  <c r="S170" i="2"/>
  <c r="R169" i="2"/>
  <c r="S169" i="2"/>
  <c r="R168" i="2"/>
  <c r="S168" i="2"/>
  <c r="R167" i="2"/>
  <c r="S167" i="2"/>
  <c r="R166" i="2"/>
  <c r="S166" i="2"/>
  <c r="R165" i="2"/>
  <c r="S165" i="2"/>
  <c r="R164" i="2"/>
  <c r="S164" i="2"/>
  <c r="R163" i="2"/>
  <c r="S163" i="2"/>
  <c r="R162" i="2"/>
  <c r="S162" i="2"/>
  <c r="R161" i="2"/>
  <c r="S161" i="2"/>
  <c r="R160" i="2"/>
  <c r="S160" i="2"/>
  <c r="R159" i="2"/>
  <c r="S159" i="2"/>
  <c r="R158" i="2"/>
  <c r="S158" i="2"/>
  <c r="R157" i="2"/>
  <c r="S157" i="2"/>
  <c r="R156" i="2"/>
  <c r="S156" i="2"/>
  <c r="R155" i="2"/>
  <c r="S155" i="2"/>
  <c r="R154" i="2"/>
  <c r="S154" i="2"/>
  <c r="R153" i="2"/>
  <c r="S153" i="2"/>
  <c r="R152" i="2"/>
  <c r="S152" i="2"/>
  <c r="R151" i="2"/>
  <c r="S151" i="2"/>
  <c r="R150" i="2"/>
  <c r="S150" i="2"/>
  <c r="R149" i="2"/>
  <c r="S149" i="2"/>
  <c r="R148" i="2"/>
  <c r="S148" i="2"/>
  <c r="R147" i="2"/>
  <c r="S147" i="2"/>
  <c r="R146" i="2"/>
  <c r="S146" i="2"/>
  <c r="R145" i="2"/>
  <c r="S145" i="2"/>
  <c r="R144" i="2"/>
  <c r="S144" i="2"/>
  <c r="R143" i="2"/>
  <c r="S143" i="2"/>
  <c r="R142" i="2"/>
  <c r="S142" i="2"/>
  <c r="R141" i="2"/>
  <c r="S141" i="2"/>
  <c r="R140" i="2"/>
  <c r="S140" i="2"/>
  <c r="R139" i="2"/>
  <c r="S139" i="2"/>
  <c r="R138" i="2"/>
  <c r="S138" i="2"/>
  <c r="R137" i="2"/>
  <c r="S137" i="2"/>
  <c r="R136" i="2"/>
  <c r="S136" i="2"/>
  <c r="R135" i="2"/>
  <c r="S135" i="2"/>
  <c r="R134" i="2"/>
  <c r="S134" i="2"/>
  <c r="R133" i="2"/>
  <c r="S133" i="2"/>
  <c r="R132" i="2"/>
  <c r="S132" i="2"/>
  <c r="R131" i="2"/>
  <c r="S131" i="2"/>
  <c r="R130" i="2"/>
  <c r="S130" i="2"/>
  <c r="R129" i="2"/>
  <c r="S129" i="2"/>
  <c r="R128" i="2"/>
  <c r="S128" i="2"/>
  <c r="R127" i="2"/>
  <c r="S127" i="2"/>
  <c r="R126" i="2"/>
  <c r="S126" i="2"/>
  <c r="R125" i="2"/>
  <c r="S125" i="2"/>
  <c r="R124" i="2"/>
  <c r="S124" i="2"/>
  <c r="R123" i="2"/>
  <c r="S123" i="2"/>
  <c r="R122" i="2"/>
  <c r="S122" i="2"/>
  <c r="R121" i="2"/>
  <c r="S121" i="2"/>
  <c r="R120" i="2"/>
  <c r="S120" i="2"/>
  <c r="R119" i="2"/>
  <c r="S119" i="2"/>
  <c r="R118" i="2"/>
  <c r="S118" i="2"/>
  <c r="R117" i="2"/>
  <c r="S117" i="2"/>
  <c r="R116" i="2"/>
  <c r="S116" i="2"/>
  <c r="R115" i="2"/>
  <c r="S115" i="2"/>
  <c r="R114" i="2"/>
  <c r="S114" i="2"/>
  <c r="R113" i="2"/>
  <c r="S113" i="2"/>
  <c r="R112" i="2"/>
  <c r="S112" i="2"/>
  <c r="R111" i="2"/>
  <c r="S111" i="2"/>
  <c r="R110" i="2"/>
  <c r="S110" i="2"/>
  <c r="R109" i="2"/>
  <c r="S109" i="2"/>
  <c r="R108" i="2"/>
  <c r="S108" i="2"/>
  <c r="R107" i="2"/>
  <c r="S107" i="2"/>
  <c r="R106" i="2"/>
  <c r="S106" i="2"/>
  <c r="R105" i="2"/>
  <c r="S105" i="2"/>
  <c r="R104" i="2"/>
  <c r="S104" i="2"/>
  <c r="R103" i="2"/>
  <c r="S103" i="2"/>
  <c r="R102" i="2"/>
  <c r="S102" i="2"/>
  <c r="R101" i="2"/>
  <c r="S101" i="2"/>
  <c r="R100" i="2"/>
  <c r="S100" i="2"/>
  <c r="R99" i="2"/>
  <c r="S99" i="2"/>
  <c r="R98" i="2"/>
  <c r="S98" i="2"/>
  <c r="R97" i="2"/>
  <c r="S97" i="2"/>
  <c r="R95" i="2"/>
  <c r="S95" i="2"/>
  <c r="R94" i="2"/>
  <c r="S94" i="2"/>
  <c r="R93" i="2"/>
  <c r="S93" i="2"/>
  <c r="R92" i="2"/>
  <c r="S92" i="2"/>
  <c r="R91" i="2"/>
  <c r="S91" i="2"/>
  <c r="R90" i="2"/>
  <c r="S90" i="2"/>
  <c r="R89" i="2"/>
  <c r="S89" i="2"/>
  <c r="R88" i="2"/>
  <c r="S88" i="2"/>
  <c r="R87" i="2"/>
  <c r="S87" i="2"/>
  <c r="R86" i="2"/>
  <c r="S86" i="2"/>
  <c r="R85" i="2"/>
  <c r="S85" i="2"/>
  <c r="R84" i="2"/>
  <c r="S84" i="2"/>
  <c r="R83" i="2"/>
  <c r="S83" i="2"/>
  <c r="R82" i="2"/>
  <c r="S82" i="2"/>
  <c r="R81" i="2"/>
  <c r="S81" i="2"/>
  <c r="R80" i="2"/>
  <c r="S80" i="2"/>
  <c r="R79" i="2"/>
  <c r="S79" i="2"/>
  <c r="R78" i="2"/>
  <c r="S78" i="2"/>
  <c r="R77" i="2"/>
  <c r="S77" i="2"/>
  <c r="R76" i="2"/>
  <c r="S76" i="2"/>
  <c r="R75" i="2"/>
  <c r="S75" i="2"/>
  <c r="R74" i="2"/>
  <c r="S74" i="2"/>
  <c r="R73" i="2"/>
  <c r="S73" i="2"/>
  <c r="R72" i="2"/>
  <c r="S72" i="2"/>
  <c r="R71" i="2"/>
  <c r="S71" i="2"/>
  <c r="R70" i="2"/>
  <c r="S70" i="2"/>
  <c r="R69" i="2"/>
  <c r="S69" i="2"/>
  <c r="R68" i="2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R59" i="2"/>
  <c r="S59" i="2"/>
  <c r="R58" i="2"/>
  <c r="S58" i="2"/>
  <c r="R57" i="2"/>
  <c r="S57" i="2"/>
  <c r="R56" i="2"/>
  <c r="S56" i="2"/>
  <c r="R55" i="2"/>
  <c r="S55" i="2"/>
  <c r="R54" i="2"/>
  <c r="S54" i="2"/>
  <c r="R53" i="2"/>
  <c r="S53" i="2"/>
  <c r="R52" i="2"/>
  <c r="S52" i="2"/>
  <c r="R51" i="2"/>
  <c r="S51" i="2"/>
  <c r="R50" i="2"/>
  <c r="S50" i="2"/>
  <c r="R49" i="2"/>
  <c r="S49" i="2"/>
  <c r="R47" i="2"/>
  <c r="S47" i="2"/>
  <c r="R46" i="2"/>
  <c r="S46" i="2"/>
  <c r="R45" i="2"/>
  <c r="S45" i="2"/>
  <c r="R44" i="2"/>
  <c r="S44" i="2"/>
  <c r="R43" i="2"/>
  <c r="S43" i="2"/>
  <c r="R42" i="2"/>
  <c r="S42" i="2"/>
  <c r="R41" i="2"/>
  <c r="S41" i="2"/>
  <c r="R40" i="2"/>
  <c r="S40" i="2"/>
  <c r="R39" i="2"/>
  <c r="S39" i="2"/>
  <c r="R38" i="2"/>
  <c r="S38" i="2"/>
  <c r="U37" i="2"/>
  <c r="U38" i="2"/>
  <c r="U39" i="2"/>
  <c r="U40" i="2"/>
  <c r="U424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O14" i="2" a="1"/>
  <c r="O14" i="2"/>
  <c r="P14" i="2"/>
  <c r="V37" i="2"/>
  <c r="V38" i="2"/>
  <c r="V39" i="2"/>
  <c r="V40" i="2"/>
  <c r="V41" i="2"/>
  <c r="V42" i="2"/>
  <c r="V43" i="2"/>
  <c r="V44" i="2"/>
  <c r="V45" i="2"/>
  <c r="V46" i="2"/>
  <c r="V47" i="2"/>
  <c r="V49" i="2"/>
  <c r="V50" i="2"/>
  <c r="V51" i="2"/>
  <c r="V52" i="2"/>
  <c r="V53" i="2"/>
  <c r="V54" i="2"/>
  <c r="V55" i="2"/>
  <c r="V56" i="2"/>
  <c r="V57" i="2"/>
  <c r="V58" i="2"/>
  <c r="V59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K28" i="2"/>
  <c r="O20" i="2" a="1"/>
  <c r="O20" i="2"/>
  <c r="P20" i="2"/>
  <c r="V96" i="2"/>
  <c r="O10" i="2" a="1"/>
  <c r="O10" i="2"/>
  <c r="P10" i="2"/>
  <c r="O8" i="2" a="1"/>
  <c r="O8" i="2"/>
  <c r="P8" i="2"/>
  <c r="T45" i="2"/>
  <c r="T46" i="2"/>
  <c r="T47" i="2"/>
  <c r="T49" i="2"/>
  <c r="T50" i="2"/>
  <c r="T51" i="2"/>
  <c r="T52" i="2"/>
  <c r="T53" i="2"/>
  <c r="T54" i="2"/>
  <c r="T55" i="2"/>
  <c r="T56" i="2"/>
  <c r="T57" i="2"/>
  <c r="T58" i="2"/>
  <c r="T59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37" i="2"/>
  <c r="T38" i="2"/>
  <c r="T39" i="2"/>
  <c r="T40" i="2"/>
  <c r="T41" i="2"/>
  <c r="T42" i="2"/>
  <c r="T43" i="2"/>
  <c r="T44" i="2"/>
  <c r="T124" i="2"/>
  <c r="T78" i="2"/>
  <c r="T60" i="2"/>
  <c r="O21" i="2" a="1"/>
  <c r="O21" i="2"/>
  <c r="P21" i="2"/>
  <c r="T48" i="2"/>
  <c r="T396" i="2"/>
  <c r="T96" i="2"/>
  <c r="V48" i="2"/>
  <c r="V3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<sst xmlns="http://schemas.openxmlformats.org/spreadsheetml/2006/main" count="102" uniqueCount="92">
  <si>
    <t>Mes</t>
  </si>
  <si>
    <t>Dividendo</t>
  </si>
  <si>
    <t>Seguros</t>
  </si>
  <si>
    <t>CLF</t>
  </si>
  <si>
    <t>CLP</t>
  </si>
  <si>
    <t>Operativa</t>
  </si>
  <si>
    <t>Valor Propiedad</t>
  </si>
  <si>
    <t>Pie</t>
  </si>
  <si>
    <t>Comision 2%</t>
  </si>
  <si>
    <t>CLFCLP</t>
  </si>
  <si>
    <t>Valor Compra</t>
  </si>
  <si>
    <t>Años</t>
  </si>
  <si>
    <t>Tasa Mensual</t>
  </si>
  <si>
    <t>Personas</t>
  </si>
  <si>
    <t>Total Inversion Inicial</t>
  </si>
  <si>
    <t>Inmueble</t>
  </si>
  <si>
    <t>Area</t>
  </si>
  <si>
    <t>Departamento</t>
  </si>
  <si>
    <t>Arriendo</t>
  </si>
  <si>
    <t>IRR</t>
  </si>
  <si>
    <t>Plusvalia</t>
  </si>
  <si>
    <t>Tasación Propiedad</t>
  </si>
  <si>
    <t>Estudios de Título</t>
  </si>
  <si>
    <t>Gastos Notariales</t>
  </si>
  <si>
    <t>Redacción Escritura</t>
  </si>
  <si>
    <t>Conservador de Bienes Raíces</t>
  </si>
  <si>
    <t>Impuesto al Mutuo</t>
  </si>
  <si>
    <t>DFL2</t>
  </si>
  <si>
    <t>Gastos Operacionales Totales</t>
  </si>
  <si>
    <t>Meses de gracia</t>
  </si>
  <si>
    <t>Valor Credito</t>
  </si>
  <si>
    <t>Capital</t>
  </si>
  <si>
    <t>Arriendo / Mes</t>
  </si>
  <si>
    <t>Administración Arriendo / Mes</t>
  </si>
  <si>
    <t>Tasa Ocupacional / Anual</t>
  </si>
  <si>
    <t>Plusvalía / Anual</t>
  </si>
  <si>
    <t>Seguro Incendio + Sismo / Mes</t>
  </si>
  <si>
    <t>Seguro Desgravamen / Mes</t>
  </si>
  <si>
    <t>Dividendo / Mes</t>
  </si>
  <si>
    <t>Gastos Comunes / Mes</t>
  </si>
  <si>
    <t>Remodelaciones / Anual</t>
  </si>
  <si>
    <t>Contribuciones / Anual</t>
  </si>
  <si>
    <t>Abono Capital</t>
  </si>
  <si>
    <t>Capital Pasivo</t>
  </si>
  <si>
    <t>Precio m^2 (CLF)</t>
  </si>
  <si>
    <t>Cap Rate Bruto</t>
  </si>
  <si>
    <t>Cap Rate Neto</t>
  </si>
  <si>
    <t>Aumento Arriendo / Anual</t>
  </si>
  <si>
    <t>Gastos</t>
  </si>
  <si>
    <t>Net Flow</t>
  </si>
  <si>
    <t>Accum. Flow</t>
  </si>
  <si>
    <t>Ganancia</t>
  </si>
  <si>
    <t>IRR Yield</t>
  </si>
  <si>
    <t>CAE</t>
  </si>
  <si>
    <t xml:space="preserve"> </t>
  </si>
  <si>
    <t>Nueva</t>
  </si>
  <si>
    <t>Inflation Target</t>
  </si>
  <si>
    <t>Tasa Anual Lineal</t>
  </si>
  <si>
    <t>Flow ROI</t>
  </si>
  <si>
    <t>Patrimonio</t>
  </si>
  <si>
    <t>Credito Hipotecario (Pasivo)</t>
  </si>
  <si>
    <t>Propiedad Inmobiliaria (Activo)</t>
  </si>
  <si>
    <t>Cash &amp; Liquidity</t>
  </si>
  <si>
    <t>Funding Cost</t>
  </si>
  <si>
    <t>Tasa Hipoteca</t>
  </si>
  <si>
    <t>Benchmark Rate</t>
  </si>
  <si>
    <t>Benchmark Df</t>
  </si>
  <si>
    <t>Market Data</t>
  </si>
  <si>
    <t>Intereses</t>
  </si>
  <si>
    <t xml:space="preserve">Simulacion al Mes </t>
  </si>
  <si>
    <t>Amortización</t>
  </si>
  <si>
    <t>Flujo de Caja</t>
  </si>
  <si>
    <t>Rentabilidad Anual</t>
  </si>
  <si>
    <t>Rentabilidad Sobre Benchmark</t>
  </si>
  <si>
    <t>Rate Benchmark</t>
  </si>
  <si>
    <t>Mejor Mes para la Venta</t>
  </si>
  <si>
    <t>Patrimonio Total</t>
  </si>
  <si>
    <t>Ganacia</t>
  </si>
  <si>
    <t>Costo/Beneficio de Funding</t>
  </si>
  <si>
    <t>Rentabilidad del Flujo de Caja</t>
  </si>
  <si>
    <t>Rentabilidad Neta Total</t>
  </si>
  <si>
    <t>Resultados Simulación</t>
  </si>
  <si>
    <t>Flujo de Caja Mensual</t>
  </si>
  <si>
    <t>Fondo Reserva / Mes</t>
  </si>
  <si>
    <t>Arrendador</t>
  </si>
  <si>
    <t>Tipo Rol</t>
  </si>
  <si>
    <t>Mantenciones Locativas / Anual</t>
  </si>
  <si>
    <t>Reparaciones No-Locativas / Anual</t>
  </si>
  <si>
    <t>1,2</t>
  </si>
  <si>
    <t>2,3</t>
  </si>
  <si>
    <t>Gastos / Mes</t>
  </si>
  <si>
    <t>Punto de Inflexión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</si>
</sst>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;[Red]&quot;$&quot;\-#,##0"/>
    <numFmt numFmtId="8" formatCode="&quot;$&quot;#,##0.00;[Red]&quot;$&quot;\-#,##0.00"/>
    <numFmt numFmtId="41" formatCode="_ * #,##0_ ;_ * \-#,##0_ ;_ * &quot;-&quot;_ ;_ @_ "/>
    <numFmt numFmtId="43" formatCode="_ * #,##0.00_ ;_ * \-#,##0.00_ ;_ * &quot;-&quot;??_ ;_ @_ "/>
    <numFmt numFmtId="164" formatCode="_ * #,##0.00_ ;_ * \-#,##0.00_ ;_ * &quot;-&quot;_ ;_ @_ "/>
    <numFmt numFmtId="168" formatCode="#,##0\ &quot;m^2&quot;"/>
    <numFmt numFmtId="176" formatCode="0.0%"/>
    <numFmt numFmtId="178" formatCode="_ * #,##0.0_ ;_ * \-#,##0.0_ ;_ * &quot;-&quot;_ ;_ @_ "/>
    <numFmt numFmtId="179" formatCode="0.0"/>
    <numFmt numFmtId="190" formatCode="_ * #,##0.0000_ ;_ * \-#,##0.0000_ ;_ * &quot;-&quot;_ ;_ @_ "/>
    <numFmt numFmtId="198" formatCode="\+\ &quot;$&quot;#,##0;[Red]&quot;$&quot;\-#,##0"/>
    <numFmt numFmtId="200" formatCode="\+\ &quot;$&quot;#,##0.00;[Red]&quot;$&quot;\-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0" fillId="3" borderId="0" xfId="0" applyFill="1"/>
    <xf numFmtId="41" fontId="0" fillId="0" borderId="3" xfId="1" applyFont="1" applyBorder="1"/>
    <xf numFmtId="41" fontId="0" fillId="0" borderId="2" xfId="1" applyFont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43" fontId="0" fillId="0" borderId="0" xfId="0" applyNumberFormat="1"/>
    <xf numFmtId="164" fontId="0" fillId="0" borderId="7" xfId="1" applyNumberFormat="1" applyFont="1" applyBorder="1"/>
    <xf numFmtId="41" fontId="0" fillId="0" borderId="8" xfId="1" applyFont="1" applyBorder="1"/>
    <xf numFmtId="0" fontId="0" fillId="4" borderId="4" xfId="0" applyFill="1" applyBorder="1"/>
    <xf numFmtId="0" fontId="0" fillId="4" borderId="9" xfId="0" applyFill="1" applyBorder="1"/>
    <xf numFmtId="41" fontId="2" fillId="0" borderId="3" xfId="1" applyFont="1" applyBorder="1"/>
    <xf numFmtId="41" fontId="0" fillId="0" borderId="0" xfId="1" applyFont="1"/>
    <xf numFmtId="41" fontId="2" fillId="0" borderId="1" xfId="1" applyFont="1" applyBorder="1"/>
    <xf numFmtId="10" fontId="0" fillId="0" borderId="0" xfId="2" applyNumberFormat="1" applyFont="1"/>
    <xf numFmtId="41" fontId="0" fillId="0" borderId="0" xfId="0" applyNumberFormat="1"/>
    <xf numFmtId="164" fontId="0" fillId="0" borderId="0" xfId="1" applyNumberFormat="1" applyFont="1"/>
    <xf numFmtId="41" fontId="0" fillId="6" borderId="10" xfId="1" applyFont="1" applyFill="1" applyBorder="1"/>
    <xf numFmtId="41" fontId="0" fillId="6" borderId="0" xfId="1" applyFont="1" applyFill="1" applyBorder="1"/>
    <xf numFmtId="0" fontId="0" fillId="0" borderId="8" xfId="0" applyBorder="1"/>
    <xf numFmtId="10" fontId="0" fillId="6" borderId="0" xfId="0" applyNumberFormat="1" applyFill="1"/>
    <xf numFmtId="41" fontId="0" fillId="6" borderId="4" xfId="1" applyFont="1" applyFill="1" applyBorder="1"/>
    <xf numFmtId="164" fontId="0" fillId="0" borderId="9" xfId="1" applyNumberFormat="1" applyFont="1" applyBorder="1"/>
    <xf numFmtId="43" fontId="0" fillId="0" borderId="2" xfId="0" applyNumberFormat="1" applyBorder="1"/>
    <xf numFmtId="164" fontId="0" fillId="0" borderId="4" xfId="1" applyNumberFormat="1" applyFont="1" applyBorder="1"/>
    <xf numFmtId="43" fontId="2" fillId="0" borderId="11" xfId="0" applyNumberFormat="1" applyFont="1" applyBorder="1"/>
    <xf numFmtId="43" fontId="2" fillId="0" borderId="5" xfId="0" applyNumberFormat="1" applyFont="1" applyBorder="1"/>
    <xf numFmtId="41" fontId="0" fillId="3" borderId="5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7" xfId="1" applyNumberFormat="1" applyFont="1" applyFill="1" applyBorder="1"/>
    <xf numFmtId="8" fontId="0" fillId="0" borderId="0" xfId="0" applyNumberFormat="1"/>
    <xf numFmtId="1" fontId="0" fillId="6" borderId="0" xfId="1" applyNumberFormat="1" applyFont="1" applyFill="1" applyBorder="1"/>
    <xf numFmtId="0" fontId="0" fillId="0" borderId="0" xfId="0" applyBorder="1"/>
    <xf numFmtId="41" fontId="0" fillId="0" borderId="0" xfId="1" applyFont="1" applyBorder="1"/>
    <xf numFmtId="41" fontId="2" fillId="0" borderId="0" xfId="1" applyFont="1" applyBorder="1"/>
    <xf numFmtId="43" fontId="0" fillId="0" borderId="0" xfId="0" applyNumberFormat="1" applyBorder="1"/>
    <xf numFmtId="0" fontId="0" fillId="0" borderId="2" xfId="0" applyBorder="1"/>
    <xf numFmtId="41" fontId="0" fillId="0" borderId="0" xfId="1" applyFont="1" applyFill="1" applyBorder="1"/>
    <xf numFmtId="10" fontId="0" fillId="0" borderId="0" xfId="2" applyNumberFormat="1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9" xfId="0" applyFill="1" applyBorder="1"/>
    <xf numFmtId="0" fontId="0" fillId="7" borderId="4" xfId="0" applyFill="1" applyBorder="1"/>
    <xf numFmtId="0" fontId="0" fillId="8" borderId="7" xfId="0" applyFill="1" applyBorder="1"/>
    <xf numFmtId="0" fontId="0" fillId="7" borderId="9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7" borderId="10" xfId="0" applyFill="1" applyBorder="1"/>
    <xf numFmtId="0" fontId="0" fillId="8" borderId="0" xfId="0" applyFill="1" applyBorder="1"/>
    <xf numFmtId="0" fontId="0" fillId="7" borderId="1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176" fontId="0" fillId="0" borderId="0" xfId="2" applyNumberFormat="1" applyFont="1" applyBorder="1"/>
    <xf numFmtId="10" fontId="0" fillId="6" borderId="0" xfId="2" applyNumberFormat="1" applyFont="1" applyFill="1" applyBorder="1"/>
    <xf numFmtId="6" fontId="0" fillId="0" borderId="0" xfId="0" applyNumberFormat="1"/>
    <xf numFmtId="6" fontId="0" fillId="6" borderId="0" xfId="0" applyNumberFormat="1" applyFill="1"/>
    <xf numFmtId="41" fontId="0" fillId="0" borderId="2" xfId="0" applyNumberFormat="1" applyBorder="1"/>
    <xf numFmtId="41" fontId="0" fillId="0" borderId="8" xfId="0" applyNumberFormat="1" applyBorder="1"/>
    <xf numFmtId="41" fontId="0" fillId="0" borderId="3" xfId="0" applyNumberFormat="1" applyBorder="1"/>
    <xf numFmtId="0" fontId="0" fillId="3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3" xfId="0" applyFill="1" applyBorder="1"/>
    <xf numFmtId="9" fontId="0" fillId="6" borderId="7" xfId="0" applyNumberFormat="1" applyFill="1" applyBorder="1"/>
    <xf numFmtId="164" fontId="0" fillId="6" borderId="4" xfId="0" applyNumberFormat="1" applyFill="1" applyBorder="1"/>
    <xf numFmtId="164" fontId="0" fillId="6" borderId="7" xfId="0" applyNumberFormat="1" applyFill="1" applyBorder="1"/>
    <xf numFmtId="10" fontId="0" fillId="0" borderId="9" xfId="2" applyNumberFormat="1" applyFont="1" applyFill="1" applyBorder="1"/>
    <xf numFmtId="178" fontId="0" fillId="6" borderId="7" xfId="0" applyNumberFormat="1" applyFill="1" applyBorder="1"/>
    <xf numFmtId="178" fontId="0" fillId="6" borderId="7" xfId="1" applyNumberFormat="1" applyFont="1" applyFill="1" applyBorder="1"/>
    <xf numFmtId="10" fontId="2" fillId="0" borderId="7" xfId="2" applyNumberFormat="1" applyFont="1" applyFill="1" applyBorder="1"/>
    <xf numFmtId="9" fontId="0" fillId="0" borderId="0" xfId="0" applyNumberFormat="1"/>
    <xf numFmtId="176" fontId="0" fillId="0" borderId="0" xfId="0" applyNumberFormat="1"/>
    <xf numFmtId="179" fontId="0" fillId="0" borderId="0" xfId="0" applyNumberFormat="1"/>
    <xf numFmtId="0" fontId="0" fillId="3" borderId="0" xfId="0" applyFill="1" applyBorder="1"/>
    <xf numFmtId="176" fontId="0" fillId="0" borderId="0" xfId="2" applyNumberFormat="1" applyFont="1"/>
    <xf numFmtId="10" fontId="0" fillId="0" borderId="0" xfId="0" applyNumberFormat="1"/>
    <xf numFmtId="0" fontId="0" fillId="4" borderId="5" xfId="0" applyFill="1" applyBorder="1"/>
    <xf numFmtId="0" fontId="0" fillId="4" borderId="6" xfId="0" applyFill="1" applyBorder="1"/>
    <xf numFmtId="10" fontId="2" fillId="0" borderId="9" xfId="2" applyNumberFormat="1" applyFont="1" applyBorder="1"/>
    <xf numFmtId="176" fontId="0" fillId="6" borderId="7" xfId="0" applyNumberFormat="1" applyFill="1" applyBorder="1"/>
    <xf numFmtId="0" fontId="0" fillId="7" borderId="3" xfId="0" applyFill="1" applyBorder="1"/>
    <xf numFmtId="0" fontId="0" fillId="9" borderId="4" xfId="0" applyFill="1" applyBorder="1"/>
    <xf numFmtId="0" fontId="0" fillId="9" borderId="10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1" xfId="0" applyFill="1" applyBorder="1"/>
    <xf numFmtId="0" fontId="0" fillId="3" borderId="10" xfId="0" applyFill="1" applyBorder="1"/>
    <xf numFmtId="41" fontId="0" fillId="6" borderId="2" xfId="1" applyFont="1" applyFill="1" applyBorder="1"/>
    <xf numFmtId="10" fontId="0" fillId="6" borderId="8" xfId="1" applyNumberFormat="1" applyFont="1" applyFill="1" applyBorder="1"/>
    <xf numFmtId="0" fontId="0" fillId="3" borderId="11" xfId="0" applyFill="1" applyBorder="1"/>
    <xf numFmtId="10" fontId="0" fillId="6" borderId="3" xfId="1" applyNumberFormat="1" applyFont="1" applyFill="1" applyBorder="1"/>
    <xf numFmtId="8" fontId="0" fillId="4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8" fontId="0" fillId="2" borderId="0" xfId="0" applyNumberFormat="1" applyFill="1" applyAlignment="1">
      <alignment horizontal="center"/>
    </xf>
    <xf numFmtId="43" fontId="0" fillId="10" borderId="0" xfId="0" applyNumberFormat="1" applyFill="1" applyAlignment="1">
      <alignment horizontal="center"/>
    </xf>
    <xf numFmtId="10" fontId="0" fillId="6" borderId="0" xfId="2" applyNumberFormat="1" applyFont="1" applyFill="1"/>
    <xf numFmtId="190" fontId="0" fillId="6" borderId="0" xfId="0" applyNumberFormat="1" applyFill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41" fontId="0" fillId="3" borderId="4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10" xfId="0" applyNumberFormat="1" applyBorder="1"/>
    <xf numFmtId="6" fontId="0" fillId="0" borderId="2" xfId="0" applyNumberFormat="1" applyBorder="1"/>
    <xf numFmtId="6" fontId="0" fillId="0" borderId="0" xfId="0" applyNumberFormat="1" applyBorder="1"/>
    <xf numFmtId="6" fontId="0" fillId="0" borderId="8" xfId="0" applyNumberFormat="1" applyBorder="1"/>
    <xf numFmtId="6" fontId="2" fillId="0" borderId="0" xfId="0" applyNumberFormat="1" applyFont="1" applyBorder="1"/>
    <xf numFmtId="6" fontId="2" fillId="0" borderId="8" xfId="0" applyNumberFormat="1" applyFont="1" applyBorder="1"/>
    <xf numFmtId="0" fontId="2" fillId="0" borderId="0" xfId="0" applyFont="1" applyBorder="1"/>
    <xf numFmtId="0" fontId="2" fillId="0" borderId="8" xfId="0" applyFont="1" applyBorder="1" applyAlignment="1">
      <alignment horizontal="center"/>
    </xf>
    <xf numFmtId="176" fontId="2" fillId="0" borderId="0" xfId="2" applyNumberFormat="1" applyFont="1" applyBorder="1"/>
    <xf numFmtId="43" fontId="0" fillId="0" borderId="8" xfId="0" applyNumberFormat="1" applyBorder="1"/>
    <xf numFmtId="6" fontId="0" fillId="0" borderId="3" xfId="0" applyNumberFormat="1" applyBorder="1"/>
    <xf numFmtId="198" fontId="2" fillId="0" borderId="0" xfId="0" applyNumberFormat="1" applyFont="1" applyBorder="1"/>
    <xf numFmtId="198" fontId="2" fillId="0" borderId="8" xfId="0" applyNumberFormat="1" applyFont="1" applyBorder="1"/>
    <xf numFmtId="8" fontId="0" fillId="0" borderId="0" xfId="0" applyNumberFormat="1" applyBorder="1"/>
    <xf numFmtId="176" fontId="0" fillId="0" borderId="11" xfId="2" applyNumberFormat="1" applyFont="1" applyBorder="1"/>
    <xf numFmtId="200" fontId="2" fillId="0" borderId="0" xfId="0" applyNumberFormat="1" applyFont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5" xfId="0" applyFill="1" applyBorder="1"/>
    <xf numFmtId="0" fontId="0" fillId="11" borderId="6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8" xfId="0" applyFill="1" applyBorder="1"/>
    <xf numFmtId="9" fontId="0" fillId="6" borderId="4" xfId="0" applyNumberFormat="1" applyFill="1" applyBorder="1"/>
    <xf numFmtId="41" fontId="0" fillId="6" borderId="9" xfId="1" applyFont="1" applyFill="1" applyBorder="1"/>
    <xf numFmtId="41" fontId="3" fillId="0" borderId="0" xfId="1" applyFont="1" applyBorder="1" applyAlignment="1">
      <alignment horizontal="right"/>
    </xf>
    <xf numFmtId="164" fontId="0" fillId="0" borderId="5" xfId="1" applyNumberFormat="1" applyFont="1" applyBorder="1"/>
    <xf numFmtId="164" fontId="0" fillId="0" borderId="1" xfId="1" applyNumberFormat="1" applyFont="1" applyBorder="1"/>
    <xf numFmtId="0" fontId="0" fillId="6" borderId="4" xfId="0" applyFill="1" applyBorder="1" applyAlignment="1">
      <alignment horizontal="center" vertical="center"/>
    </xf>
    <xf numFmtId="168" fontId="0" fillId="6" borderId="7" xfId="0" applyNumberFormat="1" applyFill="1" applyBorder="1" applyAlignment="1">
      <alignment horizontal="center"/>
    </xf>
    <xf numFmtId="1" fontId="2" fillId="0" borderId="9" xfId="0" applyNumberFormat="1" applyFont="1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CC"/>
      <color rgb="FFFFFF99"/>
      <color rgb="FFFFCCCC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S"/>
              <a:t>Pago Mensual Hipoteca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>
        <c:manualLayout>
          <c:layoutTarget val="inner"/>
          <c:xMode val="edge"/>
          <c:yMode val="edge"/>
          <c:x val="8.7201391086261057E-2"/>
          <c:y val="0.13565526522476012"/>
          <c:w val="0.87883407666340052"/>
          <c:h val="0.69971796068200609"/>
        </c:manualLayout>
      </c:layout>
      <c:barChart>
        <c:barDir val="col"/>
        <c:grouping val="stacked"/>
        <c:varyColors val="0"/>
        <c:ser>
          <c:idx val="0"/>
          <c:order val="0"/>
          <c:tx>
            <c:v>Capital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Simulación!$C$36:$C$424</c:f>
              <c:numCache>
                <c:formatCode>0.0</c:formatCode>
                <c:ptCount val="389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</c:numCache>
            </c:numRef>
          </c:cat>
          <c:val>
            <c:numRef>
              <c:f>Simulación!$I$37:$I$424</c:f>
              <c:numCache>
                <c:formatCode>"$"#,##0.00_);[Red]\("$"#,##0.00\)</c:formatCode>
                <c:ptCount val="388"/>
                <c:pt idx="0">
                  <c:v>5.9100743665096171</c:v>
                </c:pt>
                <c:pt idx="1">
                  <c:v>5.9294224120790169</c:v>
                </c:pt>
                <c:pt idx="2">
                  <c:v>5.9488337981149026</c:v>
                </c:pt>
                <c:pt idx="3">
                  <c:v>5.9683087319774799</c:v>
                </c:pt>
                <c:pt idx="4">
                  <c:v>5.9878474217057995</c:v>
                </c:pt>
                <c:pt idx="5">
                  <c:v>6.0074500760199747</c:v>
                </c:pt>
                <c:pt idx="6">
                  <c:v>6.0271169043234174</c:v>
                </c:pt>
                <c:pt idx="7">
                  <c:v>6.0468481167050605</c:v>
                </c:pt>
                <c:pt idx="8">
                  <c:v>6.0666439239416352</c:v>
                </c:pt>
                <c:pt idx="9">
                  <c:v>6.0865045374998754</c:v>
                </c:pt>
                <c:pt idx="10">
                  <c:v>6.106430169538827</c:v>
                </c:pt>
                <c:pt idx="11">
                  <c:v>6.1264210329120647</c:v>
                </c:pt>
                <c:pt idx="12">
                  <c:v>6.1464773411700104</c:v>
                </c:pt>
                <c:pt idx="13">
                  <c:v>6.1665993085621817</c:v>
                </c:pt>
                <c:pt idx="14">
                  <c:v>6.1867871500395015</c:v>
                </c:pt>
                <c:pt idx="15">
                  <c:v>6.2070410812565839</c:v>
                </c:pt>
                <c:pt idx="16">
                  <c:v>6.2273613185740331</c:v>
                </c:pt>
                <c:pt idx="17">
                  <c:v>6.2477480790607789</c:v>
                </c:pt>
                <c:pt idx="18">
                  <c:v>6.2682015804963562</c:v>
                </c:pt>
                <c:pt idx="19">
                  <c:v>6.2887220413732692</c:v>
                </c:pt>
                <c:pt idx="20">
                  <c:v>6.3093096808993039</c:v>
                </c:pt>
                <c:pt idx="21">
                  <c:v>6.3299647189998769</c:v>
                </c:pt>
                <c:pt idx="22">
                  <c:v>6.3506873763203817</c:v>
                </c:pt>
                <c:pt idx="23">
                  <c:v>6.3714778742285496</c:v>
                </c:pt>
                <c:pt idx="24">
                  <c:v>6.3923364348168121</c:v>
                </c:pt>
                <c:pt idx="25">
                  <c:v>6.4132632809046726</c:v>
                </c:pt>
                <c:pt idx="26">
                  <c:v>6.4342586360410863</c:v>
                </c:pt>
                <c:pt idx="27">
                  <c:v>6.4553227245068516</c:v>
                </c:pt>
                <c:pt idx="28">
                  <c:v>6.476455771317001</c:v>
                </c:pt>
                <c:pt idx="29">
                  <c:v>6.4976580022232131</c:v>
                </c:pt>
                <c:pt idx="30">
                  <c:v>6.5189296437162145</c:v>
                </c:pt>
                <c:pt idx="31">
                  <c:v>6.5402709230282046</c:v>
                </c:pt>
                <c:pt idx="32">
                  <c:v>6.5616820681352799</c:v>
                </c:pt>
                <c:pt idx="33">
                  <c:v>6.583163307759877</c:v>
                </c:pt>
                <c:pt idx="34">
                  <c:v>6.6047148713732025</c:v>
                </c:pt>
                <c:pt idx="35">
                  <c:v>6.6263369891976946</c:v>
                </c:pt>
                <c:pt idx="36">
                  <c:v>6.6480298922094914</c:v>
                </c:pt>
                <c:pt idx="37">
                  <c:v>6.6697938121408651</c:v>
                </c:pt>
                <c:pt idx="38">
                  <c:v>6.6916289814827277</c:v>
                </c:pt>
                <c:pt idx="39">
                  <c:v>6.7135356334871297</c:v>
                </c:pt>
                <c:pt idx="40">
                  <c:v>6.7355140021696833</c:v>
                </c:pt>
                <c:pt idx="41">
                  <c:v>6.7575643223121435</c:v>
                </c:pt>
                <c:pt idx="42">
                  <c:v>6.7796868294648647</c:v>
                </c:pt>
                <c:pt idx="43">
                  <c:v>6.8018817599493335</c:v>
                </c:pt>
                <c:pt idx="44">
                  <c:v>6.8241493508606901</c:v>
                </c:pt>
                <c:pt idx="45">
                  <c:v>6.8464898400702747</c:v>
                </c:pt>
                <c:pt idx="46">
                  <c:v>6.8689034662281294</c:v>
                </c:pt>
                <c:pt idx="47">
                  <c:v>6.8913904687656071</c:v>
                </c:pt>
                <c:pt idx="48">
                  <c:v>6.9139510878978712</c:v>
                </c:pt>
                <c:pt idx="49">
                  <c:v>6.9365855646264993</c:v>
                </c:pt>
                <c:pt idx="50">
                  <c:v>6.9592941407420437</c:v>
                </c:pt>
                <c:pt idx="51">
                  <c:v>6.9820770588266203</c:v>
                </c:pt>
                <c:pt idx="52">
                  <c:v>7.0049345622564747</c:v>
                </c:pt>
                <c:pt idx="53">
                  <c:v>7.0278668952046353</c:v>
                </c:pt>
                <c:pt idx="54">
                  <c:v>7.0508743026434644</c:v>
                </c:pt>
                <c:pt idx="55">
                  <c:v>7.0739570303473087</c:v>
                </c:pt>
                <c:pt idx="56">
                  <c:v>7.0971153248951229</c:v>
                </c:pt>
                <c:pt idx="57">
                  <c:v>7.1203494336730859</c:v>
                </c:pt>
                <c:pt idx="58">
                  <c:v>7.1436596048772554</c:v>
                </c:pt>
                <c:pt idx="59">
                  <c:v>7.1670460875162387</c:v>
                </c:pt>
                <c:pt idx="60">
                  <c:v>7.1905091314137906</c:v>
                </c:pt>
                <c:pt idx="61">
                  <c:v>7.2140489872115641</c:v>
                </c:pt>
                <c:pt idx="62">
                  <c:v>7.2376659063717348</c:v>
                </c:pt>
                <c:pt idx="63">
                  <c:v>7.2613601411796846</c:v>
                </c:pt>
                <c:pt idx="64">
                  <c:v>7.2851319447467411</c:v>
                </c:pt>
                <c:pt idx="65">
                  <c:v>7.3089815710128274</c:v>
                </c:pt>
                <c:pt idx="66">
                  <c:v>7.3329092747492037</c:v>
                </c:pt>
                <c:pt idx="67">
                  <c:v>7.3569153115612114</c:v>
                </c:pt>
                <c:pt idx="68">
                  <c:v>7.3809999378909339</c:v>
                </c:pt>
                <c:pt idx="69">
                  <c:v>7.4051634110200197</c:v>
                </c:pt>
                <c:pt idx="70">
                  <c:v>7.4294059890723556</c:v>
                </c:pt>
                <c:pt idx="71">
                  <c:v>7.4537279310168927</c:v>
                </c:pt>
                <c:pt idx="72">
                  <c:v>7.4781294966703502</c:v>
                </c:pt>
                <c:pt idx="73">
                  <c:v>7.5026109467000275</c:v>
                </c:pt>
                <c:pt idx="74">
                  <c:v>7.527172542626607</c:v>
                </c:pt>
                <c:pt idx="75">
                  <c:v>7.5518145468268738</c:v>
                </c:pt>
                <c:pt idx="76">
                  <c:v>7.5765372225366132</c:v>
                </c:pt>
                <c:pt idx="77">
                  <c:v>7.6013408338533424</c:v>
                </c:pt>
                <c:pt idx="78">
                  <c:v>7.626225645739181</c:v>
                </c:pt>
                <c:pt idx="79">
                  <c:v>7.6511919240236637</c:v>
                </c:pt>
                <c:pt idx="80">
                  <c:v>7.6762399354065796</c:v>
                </c:pt>
                <c:pt idx="81">
                  <c:v>7.7013699474608206</c:v>
                </c:pt>
                <c:pt idx="82">
                  <c:v>7.7265822286352588</c:v>
                </c:pt>
                <c:pt idx="83">
                  <c:v>7.7518770482575725</c:v>
                </c:pt>
                <c:pt idx="84">
                  <c:v>7.7772546765371651</c:v>
                </c:pt>
                <c:pt idx="85">
                  <c:v>7.8027153845680335</c:v>
                </c:pt>
                <c:pt idx="86">
                  <c:v>7.8282594443316764</c:v>
                </c:pt>
                <c:pt idx="87">
                  <c:v>7.8538871286999594</c:v>
                </c:pt>
                <c:pt idx="88">
                  <c:v>7.879598711438085</c:v>
                </c:pt>
                <c:pt idx="89">
                  <c:v>7.9053944672074792</c:v>
                </c:pt>
                <c:pt idx="90">
                  <c:v>7.9312746715687545</c:v>
                </c:pt>
                <c:pt idx="91">
                  <c:v>7.9572396009846162</c:v>
                </c:pt>
                <c:pt idx="92">
                  <c:v>7.9832895328228464</c:v>
                </c:pt>
                <c:pt idx="93">
                  <c:v>8.0094247453592615</c:v>
                </c:pt>
                <c:pt idx="94">
                  <c:v>8.0356455177806758</c:v>
                </c:pt>
                <c:pt idx="95">
                  <c:v>8.0619521301878798</c:v>
                </c:pt>
                <c:pt idx="96">
                  <c:v>8.0883448635986586</c:v>
                </c:pt>
                <c:pt idx="97">
                  <c:v>8.1148239999507652</c:v>
                </c:pt>
                <c:pt idx="98">
                  <c:v>8.1413898221049461</c:v>
                </c:pt>
                <c:pt idx="99">
                  <c:v>8.1680426138479607</c:v>
                </c:pt>
                <c:pt idx="100">
                  <c:v>8.1947826598956102</c:v>
                </c:pt>
                <c:pt idx="101">
                  <c:v>8.2216102458957838</c:v>
                </c:pt>
                <c:pt idx="102">
                  <c:v>8.2485256584315074</c:v>
                </c:pt>
                <c:pt idx="103">
                  <c:v>8.2755291850240056</c:v>
                </c:pt>
                <c:pt idx="104">
                  <c:v>8.3026211141357678</c:v>
                </c:pt>
                <c:pt idx="105">
                  <c:v>8.3298017351736391</c:v>
                </c:pt>
                <c:pt idx="106">
                  <c:v>8.3570713384919024</c:v>
                </c:pt>
                <c:pt idx="107">
                  <c:v>8.3844302153953976</c:v>
                </c:pt>
                <c:pt idx="108">
                  <c:v>8.4118786581426122</c:v>
                </c:pt>
                <c:pt idx="109">
                  <c:v>8.4394169599488027</c:v>
                </c:pt>
                <c:pt idx="110">
                  <c:v>8.4670454149891512</c:v>
                </c:pt>
                <c:pt idx="111">
                  <c:v>8.4947643184018862</c:v>
                </c:pt>
                <c:pt idx="112">
                  <c:v>8.522573966291441</c:v>
                </c:pt>
                <c:pt idx="113">
                  <c:v>8.5504746557316231</c:v>
                </c:pt>
                <c:pt idx="114">
                  <c:v>8.5784666847687756</c:v>
                </c:pt>
                <c:pt idx="115">
                  <c:v>8.6065503524249678</c:v>
                </c:pt>
                <c:pt idx="116">
                  <c:v>8.6347259587012033</c:v>
                </c:pt>
                <c:pt idx="117">
                  <c:v>8.6629938045805854</c:v>
                </c:pt>
                <c:pt idx="118">
                  <c:v>8.691354192031584</c:v>
                </c:pt>
                <c:pt idx="119">
                  <c:v>8.7198074240112184</c:v>
                </c:pt>
                <c:pt idx="120">
                  <c:v>8.7483538044683193</c:v>
                </c:pt>
                <c:pt idx="121">
                  <c:v>8.7769936383467577</c:v>
                </c:pt>
                <c:pt idx="122">
                  <c:v>8.8057272315887243</c:v>
                </c:pt>
                <c:pt idx="123">
                  <c:v>8.8345548911379677</c:v>
                </c:pt>
                <c:pt idx="124">
                  <c:v>8.863476924943102</c:v>
                </c:pt>
                <c:pt idx="125">
                  <c:v>8.8924936419608933</c:v>
                </c:pt>
                <c:pt idx="126">
                  <c:v>8.9216053521595278</c:v>
                </c:pt>
                <c:pt idx="127">
                  <c:v>8.950812366521971</c:v>
                </c:pt>
                <c:pt idx="128">
                  <c:v>8.9801149970492524</c:v>
                </c:pt>
                <c:pt idx="129">
                  <c:v>9.0095135567638209</c:v>
                </c:pt>
                <c:pt idx="130">
                  <c:v>9.0390083597128559</c:v>
                </c:pt>
                <c:pt idx="131">
                  <c:v>9.0685997209716742</c:v>
                </c:pt>
                <c:pt idx="132">
                  <c:v>9.0982879566470576</c:v>
                </c:pt>
                <c:pt idx="133">
                  <c:v>9.1280733838806345</c:v>
                </c:pt>
                <c:pt idx="134">
                  <c:v>9.157956320852275</c:v>
                </c:pt>
                <c:pt idx="135">
                  <c:v>9.1879370867834904</c:v>
                </c:pt>
                <c:pt idx="136">
                  <c:v>9.2180160019408355</c:v>
                </c:pt>
                <c:pt idx="137">
                  <c:v>9.2481933876393345</c:v>
                </c:pt>
                <c:pt idx="138">
                  <c:v>9.2784695662459171</c:v>
                </c:pt>
                <c:pt idx="139">
                  <c:v>9.3088448611828554</c:v>
                </c:pt>
                <c:pt idx="140">
                  <c:v>9.3393195969312313</c:v>
                </c:pt>
                <c:pt idx="141">
                  <c:v>9.369894099034374</c:v>
                </c:pt>
                <c:pt idx="142">
                  <c:v>9.4005686941013735</c:v>
                </c:pt>
                <c:pt idx="143">
                  <c:v>9.4313437098105481</c:v>
                </c:pt>
                <c:pt idx="144">
                  <c:v>9.4622194749129491</c:v>
                </c:pt>
                <c:pt idx="145">
                  <c:v>9.4931963192358655</c:v>
                </c:pt>
                <c:pt idx="146">
                  <c:v>9.5242745736863714</c:v>
                </c:pt>
                <c:pt idx="147">
                  <c:v>9.5554545702548346</c:v>
                </c:pt>
                <c:pt idx="148">
                  <c:v>9.5867366420184723</c:v>
                </c:pt>
                <c:pt idx="149">
                  <c:v>9.6181211231449115</c:v>
                </c:pt>
                <c:pt idx="150">
                  <c:v>9.6496083488957591</c:v>
                </c:pt>
                <c:pt idx="151">
                  <c:v>9.6811986556301761</c:v>
                </c:pt>
                <c:pt idx="152">
                  <c:v>9.7128923808084835</c:v>
                </c:pt>
                <c:pt idx="153">
                  <c:v>9.7446898629957506</c:v>
                </c:pt>
                <c:pt idx="154">
                  <c:v>9.7765914418654365</c:v>
                </c:pt>
                <c:pt idx="155">
                  <c:v>9.8085974582029731</c:v>
                </c:pt>
                <c:pt idx="156">
                  <c:v>9.8407082539094688</c:v>
                </c:pt>
                <c:pt idx="157">
                  <c:v>9.8729241720053036</c:v>
                </c:pt>
                <c:pt idx="158">
                  <c:v>9.9052455566338278</c:v>
                </c:pt>
                <c:pt idx="159">
                  <c:v>9.9376727530650317</c:v>
                </c:pt>
                <c:pt idx="160">
                  <c:v>9.9702061076992141</c:v>
                </c:pt>
                <c:pt idx="161">
                  <c:v>10.002845968070716</c:v>
                </c:pt>
                <c:pt idx="162">
                  <c:v>10.035592682851597</c:v>
                </c:pt>
                <c:pt idx="163">
                  <c:v>10.068446601855392</c:v>
                </c:pt>
                <c:pt idx="164">
                  <c:v>10.101408076040832</c:v>
                </c:pt>
                <c:pt idx="165">
                  <c:v>10.13447745751559</c:v>
                </c:pt>
                <c:pt idx="166">
                  <c:v>10.16765509954006</c:v>
                </c:pt>
                <c:pt idx="167">
                  <c:v>10.2009413565311</c:v>
                </c:pt>
                <c:pt idx="168">
                  <c:v>10.234336584065854</c:v>
                </c:pt>
                <c:pt idx="169">
                  <c:v>10.267841138885524</c:v>
                </c:pt>
                <c:pt idx="170">
                  <c:v>10.301455378899188</c:v>
                </c:pt>
                <c:pt idx="171">
                  <c:v>10.335179663187638</c:v>
                </c:pt>
                <c:pt idx="172">
                  <c:v>10.36901435200719</c:v>
                </c:pt>
                <c:pt idx="173">
                  <c:v>10.40295980679355</c:v>
                </c:pt>
                <c:pt idx="174">
                  <c:v>10.437016390165667</c:v>
                </c:pt>
                <c:pt idx="175">
                  <c:v>10.471184465929609</c:v>
                </c:pt>
                <c:pt idx="176">
                  <c:v>10.505464399082468</c:v>
                </c:pt>
                <c:pt idx="177">
                  <c:v>10.539856555816216</c:v>
                </c:pt>
                <c:pt idx="178">
                  <c:v>10.574361303521668</c:v>
                </c:pt>
                <c:pt idx="179">
                  <c:v>10.608979010792352</c:v>
                </c:pt>
                <c:pt idx="180">
                  <c:v>10.643710047428492</c:v>
                </c:pt>
                <c:pt idx="181">
                  <c:v>10.67855478444095</c:v>
                </c:pt>
                <c:pt idx="182">
                  <c:v>10.713513594055168</c:v>
                </c:pt>
                <c:pt idx="183">
                  <c:v>10.748586849715155</c:v>
                </c:pt>
                <c:pt idx="184">
                  <c:v>10.783774926087485</c:v>
                </c:pt>
                <c:pt idx="185">
                  <c:v>10.819078199065297</c:v>
                </c:pt>
                <c:pt idx="186">
                  <c:v>10.8544970457723</c:v>
                </c:pt>
                <c:pt idx="187">
                  <c:v>10.890031844566803</c:v>
                </c:pt>
                <c:pt idx="188">
                  <c:v>10.92568297504577</c:v>
                </c:pt>
                <c:pt idx="189">
                  <c:v>10.961450818048878</c:v>
                </c:pt>
                <c:pt idx="190">
                  <c:v>10.997335755662538</c:v>
                </c:pt>
                <c:pt idx="191">
                  <c:v>11.033338171224047</c:v>
                </c:pt>
                <c:pt idx="192">
                  <c:v>11.069458449325641</c:v>
                </c:pt>
                <c:pt idx="193">
                  <c:v>11.105696975818597</c:v>
                </c:pt>
                <c:pt idx="194">
                  <c:v>11.142054137817377</c:v>
                </c:pt>
                <c:pt idx="195">
                  <c:v>11.178530323703768</c:v>
                </c:pt>
                <c:pt idx="196">
                  <c:v>11.215125923130994</c:v>
                </c:pt>
                <c:pt idx="197">
                  <c:v>11.251841327027915</c:v>
                </c:pt>
                <c:pt idx="198">
                  <c:v>11.288676927603198</c:v>
                </c:pt>
                <c:pt idx="199">
                  <c:v>11.325633118349485</c:v>
                </c:pt>
                <c:pt idx="200">
                  <c:v>11.362710294047611</c:v>
                </c:pt>
                <c:pt idx="201">
                  <c:v>11.399908850770839</c:v>
                </c:pt>
                <c:pt idx="202">
                  <c:v>11.437229185889048</c:v>
                </c:pt>
                <c:pt idx="203">
                  <c:v>11.474671698073017</c:v>
                </c:pt>
                <c:pt idx="204">
                  <c:v>11.51223678729867</c:v>
                </c:pt>
                <c:pt idx="205">
                  <c:v>11.549924854851341</c:v>
                </c:pt>
                <c:pt idx="206">
                  <c:v>11.587736303330082</c:v>
                </c:pt>
                <c:pt idx="207">
                  <c:v>11.625671536651925</c:v>
                </c:pt>
                <c:pt idx="208">
                  <c:v>11.663730960056236</c:v>
                </c:pt>
                <c:pt idx="209">
                  <c:v>11.701914980109038</c:v>
                </c:pt>
                <c:pt idx="210">
                  <c:v>11.740224004707327</c:v>
                </c:pt>
                <c:pt idx="211">
                  <c:v>11.778658443083469</c:v>
                </c:pt>
                <c:pt idx="212">
                  <c:v>11.817218705809527</c:v>
                </c:pt>
                <c:pt idx="213">
                  <c:v>11.85590520480168</c:v>
                </c:pt>
                <c:pt idx="214">
                  <c:v>11.894718353324617</c:v>
                </c:pt>
                <c:pt idx="215">
                  <c:v>11.933658565995948</c:v>
                </c:pt>
                <c:pt idx="216">
                  <c:v>11.972726258790626</c:v>
                </c:pt>
                <c:pt idx="217">
                  <c:v>12.011921849045407</c:v>
                </c:pt>
                <c:pt idx="218">
                  <c:v>12.051245755463292</c:v>
                </c:pt>
                <c:pt idx="219">
                  <c:v>12.090698398118008</c:v>
                </c:pt>
                <c:pt idx="220">
                  <c:v>12.130280198458493</c:v>
                </c:pt>
                <c:pt idx="221">
                  <c:v>12.169991579313409</c:v>
                </c:pt>
                <c:pt idx="222">
                  <c:v>12.209832964895632</c:v>
                </c:pt>
                <c:pt idx="223">
                  <c:v>12.249804780806816</c:v>
                </c:pt>
                <c:pt idx="224">
                  <c:v>12.289907454041913</c:v>
                </c:pt>
                <c:pt idx="225">
                  <c:v>12.330141412993758</c:v>
                </c:pt>
                <c:pt idx="226">
                  <c:v>12.370507087457609</c:v>
                </c:pt>
                <c:pt idx="227">
                  <c:v>12.411004908635793</c:v>
                </c:pt>
                <c:pt idx="228">
                  <c:v>12.451635309142262</c:v>
                </c:pt>
                <c:pt idx="229">
                  <c:v>12.492398723007231</c:v>
                </c:pt>
                <c:pt idx="230">
                  <c:v>12.533295585681831</c:v>
                </c:pt>
                <c:pt idx="231">
                  <c:v>12.574326334042738</c:v>
                </c:pt>
                <c:pt idx="232">
                  <c:v>12.615491406396842</c:v>
                </c:pt>
                <c:pt idx="233">
                  <c:v>12.656791242485951</c:v>
                </c:pt>
                <c:pt idx="234">
                  <c:v>12.698226283491465</c:v>
                </c:pt>
                <c:pt idx="235">
                  <c:v>12.739796972039095</c:v>
                </c:pt>
                <c:pt idx="236">
                  <c:v>12.781503752203601</c:v>
                </c:pt>
                <c:pt idx="237">
                  <c:v>12.82334706951351</c:v>
                </c:pt>
                <c:pt idx="238">
                  <c:v>12.865327370955921</c:v>
                </c:pt>
                <c:pt idx="239">
                  <c:v>12.907445104981232</c:v>
                </c:pt>
                <c:pt idx="240">
                  <c:v>12.949700721507957</c:v>
                </c:pt>
                <c:pt idx="241">
                  <c:v>12.992094671927532</c:v>
                </c:pt>
                <c:pt idx="242">
                  <c:v>13.034627409109111</c:v>
                </c:pt>
                <c:pt idx="243">
                  <c:v>13.077299387404452</c:v>
                </c:pt>
                <c:pt idx="244">
                  <c:v>13.120111062652725</c:v>
                </c:pt>
                <c:pt idx="245">
                  <c:v>13.163062892185398</c:v>
                </c:pt>
                <c:pt idx="246">
                  <c:v>13.206155334831132</c:v>
                </c:pt>
                <c:pt idx="247">
                  <c:v>13.249388850920669</c:v>
                </c:pt>
                <c:pt idx="248">
                  <c:v>13.292763902291746</c:v>
                </c:pt>
                <c:pt idx="249">
                  <c:v>13.336280952294061</c:v>
                </c:pt>
                <c:pt idx="250">
                  <c:v>13.379940465794164</c:v>
                </c:pt>
                <c:pt idx="251">
                  <c:v>13.42374290918049</c:v>
                </c:pt>
                <c:pt idx="252">
                  <c:v>13.467688750368286</c:v>
                </c:pt>
                <c:pt idx="253">
                  <c:v>13.511778458804638</c:v>
                </c:pt>
                <c:pt idx="254">
                  <c:v>13.556012505473486</c:v>
                </c:pt>
                <c:pt idx="255">
                  <c:v>13.600391362900638</c:v>
                </c:pt>
                <c:pt idx="256">
                  <c:v>13.644915505158842</c:v>
                </c:pt>
                <c:pt idx="257">
                  <c:v>13.689585407872823</c:v>
                </c:pt>
                <c:pt idx="258">
                  <c:v>13.734401548224387</c:v>
                </c:pt>
                <c:pt idx="259">
                  <c:v>13.779364404957503</c:v>
                </c:pt>
                <c:pt idx="260">
                  <c:v>13.824474458383428</c:v>
                </c:pt>
                <c:pt idx="261">
                  <c:v>13.869732190385829</c:v>
                </c:pt>
                <c:pt idx="262">
                  <c:v>13.915138084425939</c:v>
                </c:pt>
                <c:pt idx="263">
                  <c:v>13.960692625547718</c:v>
                </c:pt>
                <c:pt idx="264">
                  <c:v>14.006396300383024</c:v>
                </c:pt>
                <c:pt idx="265">
                  <c:v>14.05224959715683</c:v>
                </c:pt>
                <c:pt idx="266">
                  <c:v>14.098253005692431</c:v>
                </c:pt>
                <c:pt idx="267">
                  <c:v>14.144407017416675</c:v>
                </c:pt>
                <c:pt idx="268">
                  <c:v>14.190712125365202</c:v>
                </c:pt>
                <c:pt idx="269">
                  <c:v>14.237168824187741</c:v>
                </c:pt>
                <c:pt idx="270">
                  <c:v>14.283777610153368</c:v>
                </c:pt>
                <c:pt idx="271">
                  <c:v>14.330538981155808</c:v>
                </c:pt>
                <c:pt idx="272">
                  <c:v>14.377453436718771</c:v>
                </c:pt>
                <c:pt idx="273">
                  <c:v>14.424521478001273</c:v>
                </c:pt>
                <c:pt idx="274">
                  <c:v>14.471743607802988</c:v>
                </c:pt>
                <c:pt idx="275">
                  <c:v>14.519120330569631</c:v>
                </c:pt>
                <c:pt idx="276">
                  <c:v>14.566652152398355</c:v>
                </c:pt>
                <c:pt idx="277">
                  <c:v>14.614339581043115</c:v>
                </c:pt>
                <c:pt idx="278">
                  <c:v>14.662183125920137</c:v>
                </c:pt>
                <c:pt idx="279">
                  <c:v>14.71018329811335</c:v>
                </c:pt>
                <c:pt idx="280">
                  <c:v>14.758340610379815</c:v>
                </c:pt>
                <c:pt idx="281">
                  <c:v>14.806655577155261</c:v>
                </c:pt>
                <c:pt idx="282">
                  <c:v>14.855128714559511</c:v>
                </c:pt>
                <c:pt idx="283">
                  <c:v>14.903760540402054</c:v>
                </c:pt>
                <c:pt idx="284">
                  <c:v>14.952551574187531</c:v>
                </c:pt>
                <c:pt idx="285">
                  <c:v>15.001502337121334</c:v>
                </c:pt>
                <c:pt idx="286">
                  <c:v>15.050613352115118</c:v>
                </c:pt>
                <c:pt idx="287">
                  <c:v>15.099885143792431</c:v>
                </c:pt>
                <c:pt idx="288">
                  <c:v>15.149318238494297</c:v>
                </c:pt>
                <c:pt idx="289">
                  <c:v>15.198913164284848</c:v>
                </c:pt>
                <c:pt idx="290">
                  <c:v>15.248670450956954</c:v>
                </c:pt>
                <c:pt idx="291">
                  <c:v>15.298590630037889</c:v>
                </c:pt>
                <c:pt idx="292">
                  <c:v>15.348674234795023</c:v>
                </c:pt>
                <c:pt idx="293">
                  <c:v>15.398921800241483</c:v>
                </c:pt>
                <c:pt idx="294">
                  <c:v>15.449333863141904</c:v>
                </c:pt>
                <c:pt idx="295">
                  <c:v>15.499910962018143</c:v>
                </c:pt>
                <c:pt idx="296">
                  <c:v>15.550653637155044</c:v>
                </c:pt>
                <c:pt idx="297">
                  <c:v>15.601562430606197</c:v>
                </c:pt>
                <c:pt idx="298">
                  <c:v>15.652637886199731</c:v>
                </c:pt>
                <c:pt idx="299">
                  <c:v>15.703880549544136</c:v>
                </c:pt>
                <c:pt idx="300">
                  <c:v>15.755290968034078</c:v>
                </c:pt>
                <c:pt idx="301">
                  <c:v>15.806869690856251</c:v>
                </c:pt>
                <c:pt idx="302">
                  <c:v>15.858617268995243</c:v>
                </c:pt>
                <c:pt idx="303">
                  <c:v>15.910534255239419</c:v>
                </c:pt>
                <c:pt idx="304">
                  <c:v>15.962621204186835</c:v>
                </c:pt>
                <c:pt idx="305">
                  <c:v>16.014878672251154</c:v>
                </c:pt>
                <c:pt idx="306">
                  <c:v>16.06730721766759</c:v>
                </c:pt>
                <c:pt idx="307">
                  <c:v>16.119907400498882</c:v>
                </c:pt>
                <c:pt idx="308">
                  <c:v>16.172679782641257</c:v>
                </c:pt>
                <c:pt idx="309">
                  <c:v>16.225624927830452</c:v>
                </c:pt>
                <c:pt idx="310">
                  <c:v>16.278743401647731</c:v>
                </c:pt>
                <c:pt idx="311">
                  <c:v>16.332035771525913</c:v>
                </c:pt>
                <c:pt idx="312">
                  <c:v>16.385502606755452</c:v>
                </c:pt>
                <c:pt idx="313">
                  <c:v>16.439144478490508</c:v>
                </c:pt>
                <c:pt idx="314">
                  <c:v>16.492961959755057</c:v>
                </c:pt>
                <c:pt idx="315">
                  <c:v>16.546955625449002</c:v>
                </c:pt>
                <c:pt idx="316">
                  <c:v>16.601126052354314</c:v>
                </c:pt>
                <c:pt idx="317">
                  <c:v>16.6554738191412</c:v>
                </c:pt>
                <c:pt idx="318">
                  <c:v>16.709999506374295</c:v>
                </c:pt>
                <c:pt idx="319">
                  <c:v>16.764703696518843</c:v>
                </c:pt>
                <c:pt idx="320">
                  <c:v>16.819586973946915</c:v>
                </c:pt>
                <c:pt idx="321">
                  <c:v>16.874649924943679</c:v>
                </c:pt>
                <c:pt idx="322">
                  <c:v>16.929893137713648</c:v>
                </c:pt>
                <c:pt idx="323">
                  <c:v>16.985317202386955</c:v>
                </c:pt>
                <c:pt idx="324">
                  <c:v>17.040922711025679</c:v>
                </c:pt>
                <c:pt idx="325">
                  <c:v>17.096710257630143</c:v>
                </c:pt>
                <c:pt idx="326">
                  <c:v>17.152680438145275</c:v>
                </c:pt>
                <c:pt idx="327">
                  <c:v>17.208833850466974</c:v>
                </c:pt>
                <c:pt idx="328">
                  <c:v>17.265171094448501</c:v>
                </c:pt>
                <c:pt idx="329">
                  <c:v>17.321692771906868</c:v>
                </c:pt>
                <c:pt idx="330">
                  <c:v>17.378399486629284</c:v>
                </c:pt>
                <c:pt idx="331">
                  <c:v>17.435291844379609</c:v>
                </c:pt>
                <c:pt idx="332">
                  <c:v>17.492370452904801</c:v>
                </c:pt>
                <c:pt idx="333">
                  <c:v>17.549635921941437</c:v>
                </c:pt>
                <c:pt idx="334">
                  <c:v>17.607088863222202</c:v>
                </c:pt>
                <c:pt idx="335">
                  <c:v>17.664729890482445</c:v>
                </c:pt>
                <c:pt idx="336">
                  <c:v>17.722559619466715</c:v>
                </c:pt>
                <c:pt idx="337">
                  <c:v>17.780578667935352</c:v>
                </c:pt>
                <c:pt idx="338">
                  <c:v>17.838787655671091</c:v>
                </c:pt>
                <c:pt idx="339">
                  <c:v>17.897187204485661</c:v>
                </c:pt>
                <c:pt idx="340">
                  <c:v>17.955777938226447</c:v>
                </c:pt>
                <c:pt idx="341">
                  <c:v>18.01456048278315</c:v>
                </c:pt>
                <c:pt idx="342">
                  <c:v>18.073535466094466</c:v>
                </c:pt>
                <c:pt idx="343">
                  <c:v>18.132703518154802</c:v>
                </c:pt>
                <c:pt idx="344">
                  <c:v>18.192065271021004</c:v>
                </c:pt>
                <c:pt idx="345">
                  <c:v>18.251621358819101</c:v>
                </c:pt>
                <c:pt idx="346">
                  <c:v>18.311372417751098</c:v>
                </c:pt>
                <c:pt idx="347">
                  <c:v>18.371319086101753</c:v>
                </c:pt>
                <c:pt idx="348">
                  <c:v>18.431462004245393</c:v>
                </c:pt>
                <c:pt idx="349">
                  <c:v>18.491801814652774</c:v>
                </c:pt>
                <c:pt idx="350">
                  <c:v>18.55233916189794</c:v>
                </c:pt>
                <c:pt idx="351">
                  <c:v>18.613074692665094</c:v>
                </c:pt>
                <c:pt idx="352">
                  <c:v>18.674009055755509</c:v>
                </c:pt>
                <c:pt idx="353">
                  <c:v>18.735142902094481</c:v>
                </c:pt>
                <c:pt idx="354">
                  <c:v>18.796476884738251</c:v>
                </c:pt>
                <c:pt idx="355">
                  <c:v>18.858011658880994</c:v>
                </c:pt>
                <c:pt idx="356">
                  <c:v>18.919747881861845</c:v>
                </c:pt>
                <c:pt idx="357">
                  <c:v>18.981686213171873</c:v>
                </c:pt>
                <c:pt idx="358">
                  <c:v>19.043827314461144</c:v>
                </c:pt>
                <c:pt idx="359">
                  <c:v>19.106171849545817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7-4F62-BA7E-575CD7594721}"/>
            </c:ext>
          </c:extLst>
        </c:ser>
        <c:ser>
          <c:idx val="1"/>
          <c:order val="1"/>
          <c:tx>
            <c:v>Intereses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Simulación!$C$36:$C$424</c:f>
              <c:numCache>
                <c:formatCode>0.0</c:formatCode>
                <c:ptCount val="389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</c:numCache>
            </c:numRef>
          </c:cat>
          <c:val>
            <c:numRef>
              <c:f>Simulación!$H$37:$H$424</c:f>
              <c:numCache>
                <c:formatCode>"$"#,##0.00_);[Red]\("$"#,##0.00\)</c:formatCode>
                <c:ptCount val="388"/>
                <c:pt idx="0">
                  <c:v>13.258646117905604</c:v>
                </c:pt>
                <c:pt idx="1">
                  <c:v>13.239298072336208</c:v>
                </c:pt>
                <c:pt idx="2">
                  <c:v>13.219886686300322</c:v>
                </c:pt>
                <c:pt idx="3">
                  <c:v>13.200411752437745</c:v>
                </c:pt>
                <c:pt idx="4">
                  <c:v>13.180873062709425</c:v>
                </c:pt>
                <c:pt idx="5">
                  <c:v>13.16127040839525</c:v>
                </c:pt>
                <c:pt idx="6">
                  <c:v>13.141603580091807</c:v>
                </c:pt>
                <c:pt idx="7">
                  <c:v>13.121872367710161</c:v>
                </c:pt>
                <c:pt idx="8">
                  <c:v>13.10207656047359</c:v>
                </c:pt>
                <c:pt idx="9">
                  <c:v>13.082215946915346</c:v>
                </c:pt>
                <c:pt idx="10">
                  <c:v>13.062290314876398</c:v>
                </c:pt>
                <c:pt idx="11">
                  <c:v>13.04229945150316</c:v>
                </c:pt>
                <c:pt idx="12">
                  <c:v>13.022243143245214</c:v>
                </c:pt>
                <c:pt idx="13">
                  <c:v>13.002121175853043</c:v>
                </c:pt>
                <c:pt idx="14">
                  <c:v>12.981933334375723</c:v>
                </c:pt>
                <c:pt idx="15">
                  <c:v>12.961679403158641</c:v>
                </c:pt>
                <c:pt idx="16">
                  <c:v>12.941359165841188</c:v>
                </c:pt>
                <c:pt idx="17">
                  <c:v>12.920972405354446</c:v>
                </c:pt>
                <c:pt idx="18">
                  <c:v>12.900518903918869</c:v>
                </c:pt>
                <c:pt idx="19">
                  <c:v>12.879998443041956</c:v>
                </c:pt>
                <c:pt idx="20">
                  <c:v>12.859410803515921</c:v>
                </c:pt>
                <c:pt idx="21">
                  <c:v>12.838755765415348</c:v>
                </c:pt>
                <c:pt idx="22">
                  <c:v>12.818033108094843</c:v>
                </c:pt>
                <c:pt idx="23">
                  <c:v>12.797242610186675</c:v>
                </c:pt>
                <c:pt idx="24">
                  <c:v>12.776384049598413</c:v>
                </c:pt>
                <c:pt idx="25">
                  <c:v>12.755457203510552</c:v>
                </c:pt>
                <c:pt idx="26">
                  <c:v>12.734461848374139</c:v>
                </c:pt>
                <c:pt idx="27">
                  <c:v>12.713397759908373</c:v>
                </c:pt>
                <c:pt idx="28">
                  <c:v>12.692264713098224</c:v>
                </c:pt>
                <c:pt idx="29">
                  <c:v>12.671062482192012</c:v>
                </c:pt>
                <c:pt idx="30">
                  <c:v>12.64979084069901</c:v>
                </c:pt>
                <c:pt idx="31">
                  <c:v>12.62844956138702</c:v>
                </c:pt>
                <c:pt idx="32">
                  <c:v>12.607038416279945</c:v>
                </c:pt>
                <c:pt idx="33">
                  <c:v>12.585557176655348</c:v>
                </c:pt>
                <c:pt idx="34">
                  <c:v>12.564005613042022</c:v>
                </c:pt>
                <c:pt idx="35">
                  <c:v>12.542383495217527</c:v>
                </c:pt>
                <c:pt idx="36">
                  <c:v>12.520690592205733</c:v>
                </c:pt>
                <c:pt idx="37">
                  <c:v>12.49892667227436</c:v>
                </c:pt>
                <c:pt idx="38">
                  <c:v>12.47709150293249</c:v>
                </c:pt>
                <c:pt idx="39">
                  <c:v>12.455184850928095</c:v>
                </c:pt>
                <c:pt idx="40">
                  <c:v>12.433206482245538</c:v>
                </c:pt>
                <c:pt idx="41">
                  <c:v>12.411156162103078</c:v>
                </c:pt>
                <c:pt idx="42">
                  <c:v>12.389033654950357</c:v>
                </c:pt>
                <c:pt idx="43">
                  <c:v>12.366838724465888</c:v>
                </c:pt>
                <c:pt idx="44">
                  <c:v>12.344571133554528</c:v>
                </c:pt>
                <c:pt idx="45">
                  <c:v>12.322230644344947</c:v>
                </c:pt>
                <c:pt idx="46">
                  <c:v>12.299817018187088</c:v>
                </c:pt>
                <c:pt idx="47">
                  <c:v>12.277330015649614</c:v>
                </c:pt>
                <c:pt idx="48">
                  <c:v>12.25476939651735</c:v>
                </c:pt>
                <c:pt idx="49">
                  <c:v>12.232134919788722</c:v>
                </c:pt>
                <c:pt idx="50">
                  <c:v>12.209426343673178</c:v>
                </c:pt>
                <c:pt idx="51">
                  <c:v>12.186643425588604</c:v>
                </c:pt>
                <c:pt idx="52">
                  <c:v>12.163785922158747</c:v>
                </c:pt>
                <c:pt idx="53">
                  <c:v>12.140853589210586</c:v>
                </c:pt>
                <c:pt idx="54">
                  <c:v>12.117846181771757</c:v>
                </c:pt>
                <c:pt idx="55">
                  <c:v>12.094763454067909</c:v>
                </c:pt>
                <c:pt idx="56">
                  <c:v>12.071605159520095</c:v>
                </c:pt>
                <c:pt idx="57">
                  <c:v>12.048371050742132</c:v>
                </c:pt>
                <c:pt idx="58">
                  <c:v>12.025060879537959</c:v>
                </c:pt>
                <c:pt idx="59">
                  <c:v>12.001674396898986</c:v>
                </c:pt>
                <c:pt idx="60">
                  <c:v>11.978211353001431</c:v>
                </c:pt>
                <c:pt idx="61">
                  <c:v>11.954671497203657</c:v>
                </c:pt>
                <c:pt idx="62">
                  <c:v>11.93105457804349</c:v>
                </c:pt>
                <c:pt idx="63">
                  <c:v>11.907360343235537</c:v>
                </c:pt>
                <c:pt idx="64">
                  <c:v>11.883588539668484</c:v>
                </c:pt>
                <c:pt idx="65">
                  <c:v>11.859738913402397</c:v>
                </c:pt>
                <c:pt idx="66">
                  <c:v>11.835811209666014</c:v>
                </c:pt>
                <c:pt idx="67">
                  <c:v>11.811805172854013</c:v>
                </c:pt>
                <c:pt idx="68">
                  <c:v>11.787720546524287</c:v>
                </c:pt>
                <c:pt idx="69">
                  <c:v>11.763557073395205</c:v>
                </c:pt>
                <c:pt idx="70">
                  <c:v>11.739314495342866</c:v>
                </c:pt>
                <c:pt idx="71">
                  <c:v>11.714992553398332</c:v>
                </c:pt>
                <c:pt idx="72">
                  <c:v>11.690590987744875</c:v>
                </c:pt>
                <c:pt idx="73">
                  <c:v>11.66610953771519</c:v>
                </c:pt>
                <c:pt idx="74">
                  <c:v>11.641547941788618</c:v>
                </c:pt>
                <c:pt idx="75">
                  <c:v>11.616905937588347</c:v>
                </c:pt>
                <c:pt idx="76">
                  <c:v>11.592183261878612</c:v>
                </c:pt>
                <c:pt idx="77">
                  <c:v>11.567379650561882</c:v>
                </c:pt>
                <c:pt idx="78">
                  <c:v>11.542494838676044</c:v>
                </c:pt>
                <c:pt idx="79">
                  <c:v>11.517528560391561</c:v>
                </c:pt>
                <c:pt idx="80">
                  <c:v>11.492480549008645</c:v>
                </c:pt>
                <c:pt idx="81">
                  <c:v>11.467350536954401</c:v>
                </c:pt>
                <c:pt idx="82">
                  <c:v>11.442138255779966</c:v>
                </c:pt>
                <c:pt idx="83">
                  <c:v>11.416843436157652</c:v>
                </c:pt>
                <c:pt idx="84">
                  <c:v>11.391465807878056</c:v>
                </c:pt>
                <c:pt idx="85">
                  <c:v>11.366005099847184</c:v>
                </c:pt>
                <c:pt idx="86">
                  <c:v>11.340461040083548</c:v>
                </c:pt>
                <c:pt idx="87">
                  <c:v>11.314833355715265</c:v>
                </c:pt>
                <c:pt idx="88">
                  <c:v>11.28912177297714</c:v>
                </c:pt>
                <c:pt idx="89">
                  <c:v>11.263326017207742</c:v>
                </c:pt>
                <c:pt idx="90">
                  <c:v>11.23744581284647</c:v>
                </c:pt>
                <c:pt idx="91">
                  <c:v>11.211480883430609</c:v>
                </c:pt>
                <c:pt idx="92">
                  <c:v>11.185430951592378</c:v>
                </c:pt>
                <c:pt idx="93">
                  <c:v>11.159295739055963</c:v>
                </c:pt>
                <c:pt idx="94">
                  <c:v>11.133074966634553</c:v>
                </c:pt>
                <c:pt idx="95">
                  <c:v>11.106768354227345</c:v>
                </c:pt>
                <c:pt idx="96">
                  <c:v>11.080375620816566</c:v>
                </c:pt>
                <c:pt idx="97">
                  <c:v>11.05389648446446</c:v>
                </c:pt>
                <c:pt idx="98">
                  <c:v>11.027330662310279</c:v>
                </c:pt>
                <c:pt idx="99">
                  <c:v>11.000677870567264</c:v>
                </c:pt>
                <c:pt idx="100">
                  <c:v>10.973937824519615</c:v>
                </c:pt>
                <c:pt idx="101">
                  <c:v>10.947110238519441</c:v>
                </c:pt>
                <c:pt idx="102">
                  <c:v>10.920194825983717</c:v>
                </c:pt>
                <c:pt idx="103">
                  <c:v>10.893191299391223</c:v>
                </c:pt>
                <c:pt idx="104">
                  <c:v>10.866099370279461</c:v>
                </c:pt>
                <c:pt idx="105">
                  <c:v>10.838918749241589</c:v>
                </c:pt>
                <c:pt idx="106">
                  <c:v>10.811649145923322</c:v>
                </c:pt>
                <c:pt idx="107">
                  <c:v>10.784290269019827</c:v>
                </c:pt>
                <c:pt idx="108">
                  <c:v>10.756841826272616</c:v>
                </c:pt>
                <c:pt idx="109">
                  <c:v>10.729303524466426</c:v>
                </c:pt>
                <c:pt idx="110">
                  <c:v>10.701675069426077</c:v>
                </c:pt>
                <c:pt idx="111">
                  <c:v>10.673956166013342</c:v>
                </c:pt>
                <c:pt idx="112">
                  <c:v>10.646146518123787</c:v>
                </c:pt>
                <c:pt idx="113">
                  <c:v>10.618245828683605</c:v>
                </c:pt>
                <c:pt idx="114">
                  <c:v>10.590253799646453</c:v>
                </c:pt>
                <c:pt idx="115">
                  <c:v>10.562170131990257</c:v>
                </c:pt>
                <c:pt idx="116">
                  <c:v>10.533994525714025</c:v>
                </c:pt>
                <c:pt idx="117">
                  <c:v>10.505726679834639</c:v>
                </c:pt>
                <c:pt idx="118">
                  <c:v>10.477366292383641</c:v>
                </c:pt>
                <c:pt idx="119">
                  <c:v>10.448913060404006</c:v>
                </c:pt>
                <c:pt idx="120">
                  <c:v>10.420366679946905</c:v>
                </c:pt>
                <c:pt idx="121">
                  <c:v>10.391726846068467</c:v>
                </c:pt>
                <c:pt idx="122">
                  <c:v>10.362993252826504</c:v>
                </c:pt>
                <c:pt idx="123">
                  <c:v>10.334165593277261</c:v>
                </c:pt>
                <c:pt idx="124">
                  <c:v>10.305243559472123</c:v>
                </c:pt>
                <c:pt idx="125">
                  <c:v>10.276226842454335</c:v>
                </c:pt>
                <c:pt idx="126">
                  <c:v>10.247115132255697</c:v>
                </c:pt>
                <c:pt idx="127">
                  <c:v>10.217908117893254</c:v>
                </c:pt>
                <c:pt idx="128">
                  <c:v>10.188605487365972</c:v>
                </c:pt>
                <c:pt idx="129">
                  <c:v>10.159206927651411</c:v>
                </c:pt>
                <c:pt idx="130">
                  <c:v>10.129712124702372</c:v>
                </c:pt>
                <c:pt idx="131">
                  <c:v>10.100120763443551</c:v>
                </c:pt>
                <c:pt idx="132">
                  <c:v>10.070432527768167</c:v>
                </c:pt>
                <c:pt idx="133">
                  <c:v>10.04064710053459</c:v>
                </c:pt>
                <c:pt idx="134">
                  <c:v>10.01076416356295</c:v>
                </c:pt>
                <c:pt idx="135">
                  <c:v>9.9807833976317344</c:v>
                </c:pt>
                <c:pt idx="136">
                  <c:v>9.9507044824743893</c:v>
                </c:pt>
                <c:pt idx="137">
                  <c:v>9.9205270967758903</c:v>
                </c:pt>
                <c:pt idx="138">
                  <c:v>9.8902509181693077</c:v>
                </c:pt>
                <c:pt idx="139">
                  <c:v>9.8598756232323659</c:v>
                </c:pt>
                <c:pt idx="140">
                  <c:v>9.8294008874839935</c:v>
                </c:pt>
                <c:pt idx="141">
                  <c:v>9.7988263853808508</c:v>
                </c:pt>
                <c:pt idx="142">
                  <c:v>9.7681517903138513</c:v>
                </c:pt>
                <c:pt idx="143">
                  <c:v>9.7373767746046767</c:v>
                </c:pt>
                <c:pt idx="144">
                  <c:v>9.7065010095022792</c:v>
                </c:pt>
                <c:pt idx="145">
                  <c:v>9.6755241651793593</c:v>
                </c:pt>
                <c:pt idx="146">
                  <c:v>9.6444459107288534</c:v>
                </c:pt>
                <c:pt idx="147">
                  <c:v>9.6132659141603902</c:v>
                </c:pt>
                <c:pt idx="148">
                  <c:v>9.5819838423967525</c:v>
                </c:pt>
                <c:pt idx="149">
                  <c:v>9.5505993612703133</c:v>
                </c:pt>
                <c:pt idx="150">
                  <c:v>9.5191121355194657</c:v>
                </c:pt>
                <c:pt idx="151">
                  <c:v>9.4875218287850451</c:v>
                </c:pt>
                <c:pt idx="152">
                  <c:v>9.4558281036067378</c:v>
                </c:pt>
                <c:pt idx="153">
                  <c:v>9.4240306214194671</c:v>
                </c:pt>
                <c:pt idx="154">
                  <c:v>9.3921290425497883</c:v>
                </c:pt>
                <c:pt idx="155">
                  <c:v>9.3601230262122481</c:v>
                </c:pt>
                <c:pt idx="156">
                  <c:v>9.3280122305057525</c:v>
                </c:pt>
                <c:pt idx="157">
                  <c:v>9.2957963124099177</c:v>
                </c:pt>
                <c:pt idx="158">
                  <c:v>9.2634749277813899</c:v>
                </c:pt>
                <c:pt idx="159">
                  <c:v>9.2310477313501895</c:v>
                </c:pt>
                <c:pt idx="160">
                  <c:v>9.1985143767160071</c:v>
                </c:pt>
                <c:pt idx="161">
                  <c:v>9.165874516344509</c:v>
                </c:pt>
                <c:pt idx="162">
                  <c:v>9.1331278015636279</c:v>
                </c:pt>
                <c:pt idx="163">
                  <c:v>9.1002738825598328</c:v>
                </c:pt>
                <c:pt idx="164">
                  <c:v>9.0673124083743932</c:v>
                </c:pt>
                <c:pt idx="165">
                  <c:v>9.034243026899631</c:v>
                </c:pt>
                <c:pt idx="166">
                  <c:v>9.0010653848751652</c:v>
                </c:pt>
                <c:pt idx="167">
                  <c:v>8.9677791278841248</c:v>
                </c:pt>
                <c:pt idx="168">
                  <c:v>8.9343839003493706</c:v>
                </c:pt>
                <c:pt idx="169">
                  <c:v>8.9008793455297006</c:v>
                </c:pt>
                <c:pt idx="170">
                  <c:v>8.867265105516033</c:v>
                </c:pt>
                <c:pt idx="171">
                  <c:v>8.833540821227583</c:v>
                </c:pt>
                <c:pt idx="172">
                  <c:v>8.7997061324080317</c:v>
                </c:pt>
                <c:pt idx="173">
                  <c:v>8.7657606776216745</c:v>
                </c:pt>
                <c:pt idx="174">
                  <c:v>8.7317040942495581</c:v>
                </c:pt>
                <c:pt idx="175">
                  <c:v>8.697536018485609</c:v>
                </c:pt>
                <c:pt idx="176">
                  <c:v>8.6632560853327529</c:v>
                </c:pt>
                <c:pt idx="177">
                  <c:v>8.6288639285990012</c:v>
                </c:pt>
                <c:pt idx="178">
                  <c:v>8.5943591808935569</c:v>
                </c:pt>
                <c:pt idx="179">
                  <c:v>8.5597414736228732</c:v>
                </c:pt>
                <c:pt idx="180">
                  <c:v>8.5250104369867294</c:v>
                </c:pt>
                <c:pt idx="181">
                  <c:v>8.4901656999742716</c:v>
                </c:pt>
                <c:pt idx="182">
                  <c:v>8.4552068903600563</c:v>
                </c:pt>
                <c:pt idx="183">
                  <c:v>8.4201336347000701</c:v>
                </c:pt>
                <c:pt idx="184">
                  <c:v>8.3849455583277361</c:v>
                </c:pt>
                <c:pt idx="185">
                  <c:v>8.3496422853499244</c:v>
                </c:pt>
                <c:pt idx="186">
                  <c:v>8.3142234386429248</c:v>
                </c:pt>
                <c:pt idx="187">
                  <c:v>8.2786886398484185</c:v>
                </c:pt>
                <c:pt idx="188">
                  <c:v>8.2430375093694472</c:v>
                </c:pt>
                <c:pt idx="189">
                  <c:v>8.2072696663663471</c:v>
                </c:pt>
                <c:pt idx="190">
                  <c:v>8.1713847287526828</c:v>
                </c:pt>
                <c:pt idx="191">
                  <c:v>8.1353823131911742</c:v>
                </c:pt>
                <c:pt idx="192">
                  <c:v>8.0992620350895841</c:v>
                </c:pt>
                <c:pt idx="193">
                  <c:v>8.0630235085966273</c:v>
                </c:pt>
                <c:pt idx="194">
                  <c:v>8.0266663465978443</c:v>
                </c:pt>
                <c:pt idx="195">
                  <c:v>7.9901901607114567</c:v>
                </c:pt>
                <c:pt idx="196">
                  <c:v>7.9535945612842305</c:v>
                </c:pt>
                <c:pt idx="197">
                  <c:v>7.9168791573873065</c:v>
                </c:pt>
                <c:pt idx="198">
                  <c:v>7.8800435568120264</c:v>
                </c:pt>
                <c:pt idx="199">
                  <c:v>7.8430873660657401</c:v>
                </c:pt>
                <c:pt idx="200">
                  <c:v>7.8060101903676102</c:v>
                </c:pt>
                <c:pt idx="201">
                  <c:v>7.7688116336443853</c:v>
                </c:pt>
                <c:pt idx="202">
                  <c:v>7.7314912985261754</c:v>
                </c:pt>
                <c:pt idx="203">
                  <c:v>7.6940487863422042</c:v>
                </c:pt>
                <c:pt idx="204">
                  <c:v>7.6564836971165509</c:v>
                </c:pt>
                <c:pt idx="205">
                  <c:v>7.618795629563877</c:v>
                </c:pt>
                <c:pt idx="206">
                  <c:v>7.5809841810851424</c:v>
                </c:pt>
                <c:pt idx="207">
                  <c:v>7.5430489477633005</c:v>
                </c:pt>
                <c:pt idx="208">
                  <c:v>7.5049895243589848</c:v>
                </c:pt>
                <c:pt idx="209">
                  <c:v>7.4668055043061825</c:v>
                </c:pt>
                <c:pt idx="210">
                  <c:v>7.4284964797078903</c:v>
                </c:pt>
                <c:pt idx="211">
                  <c:v>7.3900620413317535</c:v>
                </c:pt>
                <c:pt idx="212">
                  <c:v>7.3515017786056989</c:v>
                </c:pt>
                <c:pt idx="213">
                  <c:v>7.3128152796135453</c:v>
                </c:pt>
                <c:pt idx="214">
                  <c:v>7.2740021310906071</c:v>
                </c:pt>
                <c:pt idx="215">
                  <c:v>7.2350619184192766</c:v>
                </c:pt>
                <c:pt idx="216">
                  <c:v>7.1959942256245979</c:v>
                </c:pt>
                <c:pt idx="217">
                  <c:v>7.1567986353698165</c:v>
                </c:pt>
                <c:pt idx="218">
                  <c:v>7.1174747289519322</c:v>
                </c:pt>
                <c:pt idx="219">
                  <c:v>7.0780220862972163</c:v>
                </c:pt>
                <c:pt idx="220">
                  <c:v>7.038440285956729</c:v>
                </c:pt>
                <c:pt idx="221">
                  <c:v>6.9987289051018156</c:v>
                </c:pt>
                <c:pt idx="222">
                  <c:v>6.9588875195195916</c:v>
                </c:pt>
                <c:pt idx="223">
                  <c:v>6.918915703608409</c:v>
                </c:pt>
                <c:pt idx="224">
                  <c:v>6.8788130303733119</c:v>
                </c:pt>
                <c:pt idx="225">
                  <c:v>6.8385790714214716</c:v>
                </c:pt>
                <c:pt idx="226">
                  <c:v>6.7982133969576157</c:v>
                </c:pt>
                <c:pt idx="227">
                  <c:v>6.7577155757794323</c:v>
                </c:pt>
                <c:pt idx="228">
                  <c:v>6.7170851752729659</c:v>
                </c:pt>
                <c:pt idx="229">
                  <c:v>6.6763217614079942</c:v>
                </c:pt>
                <c:pt idx="230">
                  <c:v>6.6354248987333948</c:v>
                </c:pt>
                <c:pt idx="231">
                  <c:v>6.5943941503724899</c:v>
                </c:pt>
                <c:pt idx="232">
                  <c:v>6.5532290780183828</c:v>
                </c:pt>
                <c:pt idx="233">
                  <c:v>6.5119292419292734</c:v>
                </c:pt>
                <c:pt idx="234">
                  <c:v>6.4704942009237598</c:v>
                </c:pt>
                <c:pt idx="235">
                  <c:v>6.4289235123761301</c:v>
                </c:pt>
                <c:pt idx="236">
                  <c:v>6.3872167322116278</c:v>
                </c:pt>
                <c:pt idx="237">
                  <c:v>6.3453734149017142</c:v>
                </c:pt>
                <c:pt idx="238">
                  <c:v>6.303393113459304</c:v>
                </c:pt>
                <c:pt idx="239">
                  <c:v>6.261275379433993</c:v>
                </c:pt>
                <c:pt idx="240">
                  <c:v>6.2190197629072674</c:v>
                </c:pt>
                <c:pt idx="241">
                  <c:v>6.1766258124876972</c:v>
                </c:pt>
                <c:pt idx="242">
                  <c:v>6.1340930753061134</c:v>
                </c:pt>
                <c:pt idx="243">
                  <c:v>6.0914210970107723</c:v>
                </c:pt>
                <c:pt idx="244">
                  <c:v>6.0486094217625004</c:v>
                </c:pt>
                <c:pt idx="245">
                  <c:v>6.0056575922298263</c:v>
                </c:pt>
                <c:pt idx="246">
                  <c:v>5.9625651495840923</c:v>
                </c:pt>
                <c:pt idx="247">
                  <c:v>5.919331633494556</c:v>
                </c:pt>
                <c:pt idx="248">
                  <c:v>5.8759565821234743</c:v>
                </c:pt>
                <c:pt idx="249">
                  <c:v>5.8324395321211648</c:v>
                </c:pt>
                <c:pt idx="250">
                  <c:v>5.7887800186210576</c:v>
                </c:pt>
                <c:pt idx="251">
                  <c:v>5.744977575234735</c:v>
                </c:pt>
                <c:pt idx="252">
                  <c:v>5.7010317340469401</c:v>
                </c:pt>
                <c:pt idx="253">
                  <c:v>5.6569420256105865</c:v>
                </c:pt>
                <c:pt idx="254">
                  <c:v>5.6127079789417396</c:v>
                </c:pt>
                <c:pt idx="255">
                  <c:v>5.5683291215145845</c:v>
                </c:pt>
                <c:pt idx="256">
                  <c:v>5.5238049792563828</c:v>
                </c:pt>
                <c:pt idx="257">
                  <c:v>5.4791350765424012</c:v>
                </c:pt>
                <c:pt idx="258">
                  <c:v>5.4343189361908379</c:v>
                </c:pt>
                <c:pt idx="259">
                  <c:v>5.3893560794577215</c:v>
                </c:pt>
                <c:pt idx="260">
                  <c:v>5.3442460260317963</c:v>
                </c:pt>
                <c:pt idx="261">
                  <c:v>5.2989882940293933</c:v>
                </c:pt>
                <c:pt idx="262">
                  <c:v>5.2535823999892823</c:v>
                </c:pt>
                <c:pt idx="263">
                  <c:v>5.2080278588675064</c:v>
                </c:pt>
                <c:pt idx="264">
                  <c:v>5.1623241840322001</c:v>
                </c:pt>
                <c:pt idx="265">
                  <c:v>5.1164708872583917</c:v>
                </c:pt>
                <c:pt idx="266">
                  <c:v>5.070467478722791</c:v>
                </c:pt>
                <c:pt idx="267">
                  <c:v>5.0243134669985503</c:v>
                </c:pt>
                <c:pt idx="268">
                  <c:v>4.9780083590500199</c:v>
                </c:pt>
                <c:pt idx="269">
                  <c:v>4.9315516602274796</c:v>
                </c:pt>
                <c:pt idx="270">
                  <c:v>4.8849428742618537</c:v>
                </c:pt>
                <c:pt idx="271">
                  <c:v>4.8381815032594124</c:v>
                </c:pt>
                <c:pt idx="272">
                  <c:v>4.7912670476964507</c:v>
                </c:pt>
                <c:pt idx="273">
                  <c:v>4.7441990064139521</c:v>
                </c:pt>
                <c:pt idx="274">
                  <c:v>4.6969768766122364</c:v>
                </c:pt>
                <c:pt idx="275">
                  <c:v>4.6496001538455891</c:v>
                </c:pt>
                <c:pt idx="276">
                  <c:v>4.60206833201687</c:v>
                </c:pt>
                <c:pt idx="277">
                  <c:v>4.5543809033721105</c:v>
                </c:pt>
                <c:pt idx="278">
                  <c:v>4.506537358495085</c:v>
                </c:pt>
                <c:pt idx="279">
                  <c:v>4.4585371863018741</c:v>
                </c:pt>
                <c:pt idx="280">
                  <c:v>4.410379874035403</c:v>
                </c:pt>
                <c:pt idx="281">
                  <c:v>4.3620649072599607</c:v>
                </c:pt>
                <c:pt idx="282">
                  <c:v>4.3135917698557105</c:v>
                </c:pt>
                <c:pt idx="283">
                  <c:v>4.2649599440131718</c:v>
                </c:pt>
                <c:pt idx="284">
                  <c:v>4.2161689102276911</c:v>
                </c:pt>
                <c:pt idx="285">
                  <c:v>4.1672181472938918</c:v>
                </c:pt>
                <c:pt idx="286">
                  <c:v>4.1181071323001079</c:v>
                </c:pt>
                <c:pt idx="287">
                  <c:v>4.0688353406227948</c:v>
                </c:pt>
                <c:pt idx="288">
                  <c:v>4.0194022459209275</c:v>
                </c:pt>
                <c:pt idx="289">
                  <c:v>3.9698073201303772</c:v>
                </c:pt>
                <c:pt idx="290">
                  <c:v>3.9200500334582706</c:v>
                </c:pt>
                <c:pt idx="291">
                  <c:v>3.8701298543773319</c:v>
                </c:pt>
                <c:pt idx="292">
                  <c:v>3.8200462496202015</c:v>
                </c:pt>
                <c:pt idx="293">
                  <c:v>3.7697986841737419</c:v>
                </c:pt>
                <c:pt idx="294">
                  <c:v>3.7193866212733213</c:v>
                </c:pt>
                <c:pt idx="295">
                  <c:v>3.6688095223970811</c:v>
                </c:pt>
                <c:pt idx="296">
                  <c:v>3.6180668472601809</c:v>
                </c:pt>
                <c:pt idx="297">
                  <c:v>3.5671580538090306</c:v>
                </c:pt>
                <c:pt idx="298">
                  <c:v>3.5160825982154948</c:v>
                </c:pt>
                <c:pt idx="299">
                  <c:v>3.464839934871089</c:v>
                </c:pt>
                <c:pt idx="300">
                  <c:v>3.4134295163811461</c:v>
                </c:pt>
                <c:pt idx="301">
                  <c:v>3.3618507935589736</c:v>
                </c:pt>
                <c:pt idx="302">
                  <c:v>3.310103215419983</c:v>
                </c:pt>
                <c:pt idx="303">
                  <c:v>3.2581862291758066</c:v>
                </c:pt>
                <c:pt idx="304">
                  <c:v>3.2060992802283907</c:v>
                </c:pt>
                <c:pt idx="305">
                  <c:v>3.1538418121640723</c:v>
                </c:pt>
                <c:pt idx="306">
                  <c:v>3.1014132667476351</c:v>
                </c:pt>
                <c:pt idx="307">
                  <c:v>3.048813083916345</c:v>
                </c:pt>
                <c:pt idx="308">
                  <c:v>2.996040701773969</c:v>
                </c:pt>
                <c:pt idx="309">
                  <c:v>2.9430955565847725</c:v>
                </c:pt>
                <c:pt idx="310">
                  <c:v>2.8899770827674955</c:v>
                </c:pt>
                <c:pt idx="311">
                  <c:v>2.8366847128893129</c:v>
                </c:pt>
                <c:pt idx="312">
                  <c:v>2.7832178776597729</c:v>
                </c:pt>
                <c:pt idx="313">
                  <c:v>2.7295760059247134</c:v>
                </c:pt>
                <c:pt idx="314">
                  <c:v>2.675758524660163</c:v>
                </c:pt>
                <c:pt idx="315">
                  <c:v>2.6217648589662197</c:v>
                </c:pt>
                <c:pt idx="316">
                  <c:v>2.5675944320609076</c:v>
                </c:pt>
                <c:pt idx="317">
                  <c:v>2.5132466652740164</c:v>
                </c:pt>
                <c:pt idx="318">
                  <c:v>2.4587209780409212</c:v>
                </c:pt>
                <c:pt idx="319">
                  <c:v>2.4040167878963796</c:v>
                </c:pt>
                <c:pt idx="320">
                  <c:v>2.3491335104683086</c:v>
                </c:pt>
                <c:pt idx="321">
                  <c:v>2.2940705594715438</c:v>
                </c:pt>
                <c:pt idx="322">
                  <c:v>2.238827346701576</c:v>
                </c:pt>
                <c:pt idx="323">
                  <c:v>2.1834032820282663</c:v>
                </c:pt>
                <c:pt idx="324">
                  <c:v>2.127797773389545</c:v>
                </c:pt>
                <c:pt idx="325">
                  <c:v>2.0720102267850828</c:v>
                </c:pt>
                <c:pt idx="326">
                  <c:v>2.0160400462699513</c:v>
                </c:pt>
                <c:pt idx="327">
                  <c:v>1.9598866339482499</c:v>
                </c:pt>
                <c:pt idx="328">
                  <c:v>1.9035493899667251</c:v>
                </c:pt>
                <c:pt idx="329">
                  <c:v>1.8470277125083581</c:v>
                </c:pt>
                <c:pt idx="330">
                  <c:v>1.7903209977859391</c:v>
                </c:pt>
                <c:pt idx="331">
                  <c:v>1.7334286400356156</c:v>
                </c:pt>
                <c:pt idx="332">
                  <c:v>1.6763500315104216</c:v>
                </c:pt>
                <c:pt idx="333">
                  <c:v>1.6190845624737862</c:v>
                </c:pt>
                <c:pt idx="334">
                  <c:v>1.5616316211930195</c:v>
                </c:pt>
                <c:pt idx="335">
                  <c:v>1.5039905939327773</c:v>
                </c:pt>
                <c:pt idx="336">
                  <c:v>1.4461608649485069</c:v>
                </c:pt>
                <c:pt idx="337">
                  <c:v>1.3881418164798667</c:v>
                </c:pt>
                <c:pt idx="338">
                  <c:v>1.3299328287441292</c:v>
                </c:pt>
                <c:pt idx="339">
                  <c:v>1.27153327992956</c:v>
                </c:pt>
                <c:pt idx="340">
                  <c:v>1.212942546188774</c:v>
                </c:pt>
                <c:pt idx="341">
                  <c:v>1.1541600016320723</c:v>
                </c:pt>
                <c:pt idx="342">
                  <c:v>1.0951850183207568</c:v>
                </c:pt>
                <c:pt idx="343">
                  <c:v>1.0360169662604202</c:v>
                </c:pt>
                <c:pt idx="344">
                  <c:v>0.97665521339421857</c:v>
                </c:pt>
                <c:pt idx="345">
                  <c:v>0.91709912559611773</c:v>
                </c:pt>
                <c:pt idx="346">
                  <c:v>0.85734806666412033</c:v>
                </c:pt>
                <c:pt idx="347">
                  <c:v>0.79740139831346857</c:v>
                </c:pt>
                <c:pt idx="348">
                  <c:v>0.73725848016982709</c:v>
                </c:pt>
                <c:pt idx="349">
                  <c:v>0.67691866976244119</c:v>
                </c:pt>
                <c:pt idx="350">
                  <c:v>0.6163813225172744</c:v>
                </c:pt>
                <c:pt idx="351">
                  <c:v>0.55564579175012219</c:v>
                </c:pt>
                <c:pt idx="352">
                  <c:v>0.49471142865970463</c:v>
                </c:pt>
                <c:pt idx="353">
                  <c:v>0.43357758232073507</c:v>
                </c:pt>
                <c:pt idx="354">
                  <c:v>0.37224359967696674</c:v>
                </c:pt>
                <c:pt idx="355">
                  <c:v>0.3107088255342168</c:v>
                </c:pt>
                <c:pt idx="356">
                  <c:v>0.24897260255336712</c:v>
                </c:pt>
                <c:pt idx="357">
                  <c:v>0.18703427124334235</c:v>
                </c:pt>
                <c:pt idx="358">
                  <c:v>0.12489316995406491</c:v>
                </c:pt>
                <c:pt idx="359">
                  <c:v>6.2548634869387137E-2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7-4F62-BA7E-575CD75947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09213903"/>
        <c:axId val="309214383"/>
      </c:barChart>
      <c:catAx>
        <c:axId val="309213903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09214383"/>
        <c:crosses val="autoZero"/>
        <c:auto val="1"/>
        <c:lblAlgn val="ctr"/>
        <c:lblOffset val="200"/>
        <c:tickLblSkip val="30"/>
        <c:tickMarkSkip val="5"/>
        <c:noMultiLvlLbl val="0"/>
      </c:catAx>
      <c:valAx>
        <c:axId val="30921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309213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S" sz="1400"/>
              <a:t>Patrimonio Proyectado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Patrimonio</c:v>
          </c:tx>
          <c:spPr>
            <a:ln w="25400" cap="rnd">
              <a:solidFill>
                <a:schemeClr val="accent1"/>
              </a:solidFill>
              <a:round/>
            </a:ln>
            <a:effectLst>
              <a:glow rad="25400">
                <a:schemeClr val="accent1">
                  <a:satMod val="175000"/>
                  <a:alpha val="54000"/>
                </a:schemeClr>
              </a:glow>
              <a:outerShdw blurRad="50800" dist="38100" dir="2700000" algn="tl" rotWithShape="0">
                <a:prstClr val="black">
                  <a:alpha val="63000"/>
                </a:prstClr>
              </a:outerShdw>
            </a:effectLst>
          </c:spPr>
          <c:marker>
            <c:symbol val="none"/>
          </c:marker>
          <c:xVal>
            <c:numRef>
              <c:f>Simulación!$C$36:$C$424</c:f>
              <c:numCache>
                <c:formatCode>0.0</c:formatCode>
                <c:ptCount val="389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</c:numCache>
            </c:numRef>
          </c:xVal>
          <c:yVal>
            <c:numRef>
              <c:f>Simulación!$V$36:$V$424</c:f>
              <c:numCache>
                <c:formatCode>"$"#,##0.00_);[Red]\("$"#,##0.00\)</c:formatCode>
                <c:ptCount val="389"/>
                <c:pt idx="0">
                  <c:v>450.00000000000034</c:v>
                </c:pt>
                <c:pt idx="1">
                  <c:v>457.58956785746102</c:v>
                </c:pt>
                <c:pt idx="2">
                  <c:v>465.22585495014516</c:v>
                </c:pt>
                <c:pt idx="3">
                  <c:v>472.90899212325746</c:v>
                </c:pt>
                <c:pt idx="4">
                  <c:v>480.63911059584677</c:v>
                </c:pt>
                <c:pt idx="5">
                  <c:v>488.41634196189568</c:v>
                </c:pt>
                <c:pt idx="6">
                  <c:v>496.24081819141736</c:v>
                </c:pt>
                <c:pt idx="7">
                  <c:v>504.11267163154423</c:v>
                </c:pt>
                <c:pt idx="8">
                  <c:v>512.032035007633</c:v>
                </c:pt>
                <c:pt idx="9">
                  <c:v>519.99904142436606</c:v>
                </c:pt>
                <c:pt idx="10">
                  <c:v>528.01382436685378</c:v>
                </c:pt>
                <c:pt idx="11">
                  <c:v>536.07651770174778</c:v>
                </c:pt>
                <c:pt idx="12">
                  <c:v>544.18725567835133</c:v>
                </c:pt>
                <c:pt idx="13">
                  <c:v>552.3461729297336</c:v>
                </c:pt>
                <c:pt idx="14">
                  <c:v>560.55340447385186</c:v>
                </c:pt>
                <c:pt idx="15">
                  <c:v>568.80908571467114</c:v>
                </c:pt>
                <c:pt idx="16">
                  <c:v>577.11335244329018</c:v>
                </c:pt>
                <c:pt idx="17">
                  <c:v>585.46634083907009</c:v>
                </c:pt>
                <c:pt idx="18">
                  <c:v>593.86818747076939</c:v>
                </c:pt>
                <c:pt idx="19">
                  <c:v>602.31902929767546</c:v>
                </c:pt>
                <c:pt idx="20">
                  <c:v>610.81900367074593</c:v>
                </c:pt>
                <c:pt idx="21">
                  <c:v>619.36824833375283</c:v>
                </c:pt>
                <c:pt idx="22">
                  <c:v>627.9669014244231</c:v>
                </c:pt>
                <c:pt idx="23">
                  <c:v>636.61510147559181</c:v>
                </c:pt>
                <c:pt idx="24">
                  <c:v>645.31298741635453</c:v>
                </c:pt>
                <c:pt idx="25">
                  <c:v>654.06069857322325</c:v>
                </c:pt>
                <c:pt idx="26">
                  <c:v>662.85837467128329</c:v>
                </c:pt>
                <c:pt idx="27">
                  <c:v>671.70615583536016</c:v>
                </c:pt>
                <c:pt idx="28">
                  <c:v>680.60418259118285</c:v>
                </c:pt>
                <c:pt idx="29">
                  <c:v>689.55259586655427</c:v>
                </c:pt>
                <c:pt idx="30">
                  <c:v>698.55153699252821</c:v>
                </c:pt>
                <c:pt idx="31">
                  <c:v>707.60114770457892</c:v>
                </c:pt>
                <c:pt idx="32">
                  <c:v>716.70157014378799</c:v>
                </c:pt>
                <c:pt idx="33">
                  <c:v>725.85294685802671</c:v>
                </c:pt>
                <c:pt idx="34">
                  <c:v>735.05542080313933</c:v>
                </c:pt>
                <c:pt idx="35">
                  <c:v>744.3091353441381</c:v>
                </c:pt>
                <c:pt idx="36">
                  <c:v>753.6142342563993</c:v>
                </c:pt>
                <c:pt idx="37">
                  <c:v>762.97086172685374</c:v>
                </c:pt>
                <c:pt idx="38">
                  <c:v>772.37916235519731</c:v>
                </c:pt>
                <c:pt idx="39">
                  <c:v>781.83928115508877</c:v>
                </c:pt>
                <c:pt idx="40">
                  <c:v>791.35136355536304</c:v>
                </c:pt>
                <c:pt idx="41">
                  <c:v>800.9155554012417</c:v>
                </c:pt>
                <c:pt idx="42">
                  <c:v>810.53200295554905</c:v>
                </c:pt>
                <c:pt idx="43">
                  <c:v>820.20085289993165</c:v>
                </c:pt>
                <c:pt idx="44">
                  <c:v>829.92225233607985</c:v>
                </c:pt>
                <c:pt idx="45">
                  <c:v>839.69634878695922</c:v>
                </c:pt>
                <c:pt idx="46">
                  <c:v>849.52329019803472</c:v>
                </c:pt>
                <c:pt idx="47">
                  <c:v>859.40322493851033</c:v>
                </c:pt>
                <c:pt idx="48">
                  <c:v>869.3363018025633</c:v>
                </c:pt>
                <c:pt idx="49">
                  <c:v>879.32267001058642</c:v>
                </c:pt>
                <c:pt idx="50">
                  <c:v>889.36247921043321</c:v>
                </c:pt>
                <c:pt idx="51">
                  <c:v>899.45587947866932</c:v>
                </c:pt>
                <c:pt idx="52">
                  <c:v>909.60302132182039</c:v>
                </c:pt>
                <c:pt idx="53">
                  <c:v>919.80405567762898</c:v>
                </c:pt>
                <c:pt idx="54">
                  <c:v>930.05913391632146</c:v>
                </c:pt>
                <c:pt idx="55">
                  <c:v>940.36840784186222</c:v>
                </c:pt>
                <c:pt idx="56">
                  <c:v>950.73202969322699</c:v>
                </c:pt>
                <c:pt idx="57">
                  <c:v>961.15015214567336</c:v>
                </c:pt>
                <c:pt idx="58">
                  <c:v>971.6229283120141</c:v>
                </c:pt>
                <c:pt idx="59">
                  <c:v>982.15051174389862</c:v>
                </c:pt>
                <c:pt idx="60">
                  <c:v>992.73305643309266</c:v>
                </c:pt>
                <c:pt idx="61">
                  <c:v>1003.370716812767</c:v>
                </c:pt>
                <c:pt idx="62">
                  <c:v>1014.063647758789</c:v>
                </c:pt>
                <c:pt idx="63">
                  <c:v>1024.8120045910114</c:v>
                </c:pt>
                <c:pt idx="64">
                  <c:v>1035.615943074577</c:v>
                </c:pt>
                <c:pt idx="65">
                  <c:v>1046.4756194212146</c:v>
                </c:pt>
                <c:pt idx="66">
                  <c:v>1057.3911902905525</c:v>
                </c:pt>
                <c:pt idx="67">
                  <c:v>1068.3628127914185</c:v>
                </c:pt>
                <c:pt idx="68">
                  <c:v>1079.3906444831605</c:v>
                </c:pt>
                <c:pt idx="69">
                  <c:v>1090.4748433769614</c:v>
                </c:pt>
                <c:pt idx="70">
                  <c:v>1101.6155679371627</c:v>
                </c:pt>
                <c:pt idx="71">
                  <c:v>1112.8129770825849</c:v>
                </c:pt>
                <c:pt idx="72">
                  <c:v>1124.0672301878626</c:v>
                </c:pt>
                <c:pt idx="73">
                  <c:v>1135.3784870847753</c:v>
                </c:pt>
                <c:pt idx="74">
                  <c:v>1146.7469080635815</c:v>
                </c:pt>
                <c:pt idx="75">
                  <c:v>1158.1726538743665</c:v>
                </c:pt>
                <c:pt idx="76">
                  <c:v>1169.6558857283831</c:v>
                </c:pt>
                <c:pt idx="77">
                  <c:v>1181.1967652994003</c:v>
                </c:pt>
                <c:pt idx="78">
                  <c:v>1192.7954547250606</c:v>
                </c:pt>
                <c:pt idx="79">
                  <c:v>1204.4521166082327</c:v>
                </c:pt>
                <c:pt idx="80">
                  <c:v>1216.1669140183744</c:v>
                </c:pt>
                <c:pt idx="81">
                  <c:v>1227.9400104929005</c:v>
                </c:pt>
                <c:pt idx="82">
                  <c:v>1239.7715700385502</c:v>
                </c:pt>
                <c:pt idx="83">
                  <c:v>1251.6617571327592</c:v>
                </c:pt>
                <c:pt idx="84">
                  <c:v>1263.6107367250374</c:v>
                </c:pt>
                <c:pt idx="85">
                  <c:v>1275.6186742383566</c:v>
                </c:pt>
                <c:pt idx="86">
                  <c:v>1287.6857355705265</c:v>
                </c:pt>
                <c:pt idx="87">
                  <c:v>1299.812087095595</c:v>
                </c:pt>
                <c:pt idx="88">
                  <c:v>1311.9978956652326</c:v>
                </c:pt>
                <c:pt idx="89">
                  <c:v>1324.2433286101391</c:v>
                </c:pt>
                <c:pt idx="90">
                  <c:v>1336.5485537414402</c:v>
                </c:pt>
                <c:pt idx="91">
                  <c:v>1348.9137393520964</c:v>
                </c:pt>
                <c:pt idx="92">
                  <c:v>1361.3390542183156</c:v>
                </c:pt>
                <c:pt idx="93">
                  <c:v>1373.8246676009644</c:v>
                </c:pt>
                <c:pt idx="94">
                  <c:v>1386.3707492469907</c:v>
                </c:pt>
                <c:pt idx="95">
                  <c:v>1398.9774693908435</c:v>
                </c:pt>
                <c:pt idx="96">
                  <c:v>1411.6449987559058</c:v>
                </c:pt>
                <c:pt idx="97">
                  <c:v>1424.3735085559224</c:v>
                </c:pt>
                <c:pt idx="98">
                  <c:v>1437.1631704964352</c:v>
                </c:pt>
                <c:pt idx="99">
                  <c:v>1450.0141567762316</c:v>
                </c:pt>
                <c:pt idx="100">
                  <c:v>1462.9266400887768</c:v>
                </c:pt>
                <c:pt idx="101">
                  <c:v>1475.9007936236771</c:v>
                </c:pt>
                <c:pt idx="102">
                  <c:v>1488.9367910681217</c:v>
                </c:pt>
                <c:pt idx="103">
                  <c:v>1502.0348066083466</c:v>
                </c:pt>
                <c:pt idx="104">
                  <c:v>1515.1950149310946</c:v>
                </c:pt>
                <c:pt idx="105">
                  <c:v>1528.4175912250844</c:v>
                </c:pt>
                <c:pt idx="106">
                  <c:v>1541.7027111824768</c:v>
                </c:pt>
                <c:pt idx="107">
                  <c:v>1555.0505510003563</c:v>
                </c:pt>
                <c:pt idx="108">
                  <c:v>1568.4612873822048</c:v>
                </c:pt>
                <c:pt idx="109">
                  <c:v>1581.9350975393895</c:v>
                </c:pt>
                <c:pt idx="110">
                  <c:v>1595.4721591926505</c:v>
                </c:pt>
                <c:pt idx="111">
                  <c:v>1609.0726505735943</c:v>
                </c:pt>
                <c:pt idx="112">
                  <c:v>1622.736750426187</c:v>
                </c:pt>
                <c:pt idx="113">
                  <c:v>1636.4646380082654</c:v>
                </c:pt>
                <c:pt idx="114">
                  <c:v>1650.2564930930353</c:v>
                </c:pt>
                <c:pt idx="115">
                  <c:v>1664.1124959705835</c:v>
                </c:pt>
                <c:pt idx="116">
                  <c:v>1678.0328274493972</c:v>
                </c:pt>
                <c:pt idx="117">
                  <c:v>1692.017668857879</c:v>
                </c:pt>
                <c:pt idx="118">
                  <c:v>1706.0672020458783</c:v>
                </c:pt>
                <c:pt idx="119">
                  <c:v>1720.1816093862112</c:v>
                </c:pt>
                <c:pt idx="120">
                  <c:v>1734.3610737762015</c:v>
                </c:pt>
                <c:pt idx="121">
                  <c:v>1748.6057786392162</c:v>
                </c:pt>
                <c:pt idx="122">
                  <c:v>1762.9159079262076</c:v>
                </c:pt>
                <c:pt idx="123">
                  <c:v>1777.2916461172604</c:v>
                </c:pt>
                <c:pt idx="124">
                  <c:v>1791.733178223149</c:v>
                </c:pt>
                <c:pt idx="125">
                  <c:v>1806.2406897868846</c:v>
                </c:pt>
                <c:pt idx="126">
                  <c:v>1820.8143668852867</c:v>
                </c:pt>
                <c:pt idx="127">
                  <c:v>1835.4543961305412</c:v>
                </c:pt>
                <c:pt idx="128">
                  <c:v>1850.1609646717757</c:v>
                </c:pt>
                <c:pt idx="129">
                  <c:v>1864.9342601966332</c:v>
                </c:pt>
                <c:pt idx="130">
                  <c:v>1879.7744709328495</c:v>
                </c:pt>
                <c:pt idx="131">
                  <c:v>1894.681785649846</c:v>
                </c:pt>
                <c:pt idx="132">
                  <c:v>1909.6563936603084</c:v>
                </c:pt>
                <c:pt idx="133">
                  <c:v>1924.6984848217903</c:v>
                </c:pt>
                <c:pt idx="134">
                  <c:v>1939.8082495383082</c:v>
                </c:pt>
                <c:pt idx="135">
                  <c:v>1954.9858787619419</c:v>
                </c:pt>
                <c:pt idx="136">
                  <c:v>1970.2315639944513</c:v>
                </c:pt>
                <c:pt idx="137">
                  <c:v>1985.5454972888815</c:v>
                </c:pt>
                <c:pt idx="138">
                  <c:v>2000.9278712511882</c:v>
                </c:pt>
                <c:pt idx="139">
                  <c:v>2016.3788790418544</c:v>
                </c:pt>
                <c:pt idx="140">
                  <c:v>2031.8987143775244</c:v>
                </c:pt>
                <c:pt idx="141">
                  <c:v>2047.4875715326293</c:v>
                </c:pt>
                <c:pt idx="142">
                  <c:v>2063.1456453410324</c:v>
                </c:pt>
                <c:pt idx="143">
                  <c:v>2078.8731311976685</c:v>
                </c:pt>
                <c:pt idx="144">
                  <c:v>2094.670225060187</c:v>
                </c:pt>
                <c:pt idx="145">
                  <c:v>2110.5371234506115</c:v>
                </c:pt>
                <c:pt idx="146">
                  <c:v>2126.4740234569949</c:v>
                </c:pt>
                <c:pt idx="147">
                  <c:v>2142.4811227350788</c:v>
                </c:pt>
                <c:pt idx="148">
                  <c:v>2158.5586195099627</c:v>
                </c:pt>
                <c:pt idx="149">
                  <c:v>2174.706712577778</c:v>
                </c:pt>
                <c:pt idx="150">
                  <c:v>2190.9256013073632</c:v>
                </c:pt>
                <c:pt idx="151">
                  <c:v>2207.2154856419443</c:v>
                </c:pt>
                <c:pt idx="152">
                  <c:v>2223.5765661008286</c:v>
                </c:pt>
                <c:pt idx="153">
                  <c:v>2240.0090437810891</c:v>
                </c:pt>
                <c:pt idx="154">
                  <c:v>2256.5131203592678</c:v>
                </c:pt>
                <c:pt idx="155">
                  <c:v>2273.0889980930756</c:v>
                </c:pt>
                <c:pt idx="156">
                  <c:v>2289.7368798231005</c:v>
                </c:pt>
                <c:pt idx="157">
                  <c:v>2306.4569689745199</c:v>
                </c:pt>
                <c:pt idx="158">
                  <c:v>2323.2494695588198</c:v>
                </c:pt>
                <c:pt idx="159">
                  <c:v>2340.1145861755163</c:v>
                </c:pt>
                <c:pt idx="160">
                  <c:v>2357.0525240138809</c:v>
                </c:pt>
                <c:pt idx="161">
                  <c:v>2374.0634888546833</c:v>
                </c:pt>
                <c:pt idx="162">
                  <c:v>2391.1476870719193</c:v>
                </c:pt>
                <c:pt idx="163">
                  <c:v>2408.3053256345588</c:v>
                </c:pt>
                <c:pt idx="164">
                  <c:v>2425.5366121082984</c:v>
                </c:pt>
                <c:pt idx="165">
                  <c:v>2442.8417546573078</c:v>
                </c:pt>
                <c:pt idx="166">
                  <c:v>2460.2209620459939</c:v>
                </c:pt>
                <c:pt idx="167">
                  <c:v>2477.6744436407675</c:v>
                </c:pt>
                <c:pt idx="168">
                  <c:v>2495.2024094118074</c:v>
                </c:pt>
                <c:pt idx="169">
                  <c:v>2512.8050699348419</c:v>
                </c:pt>
                <c:pt idx="170">
                  <c:v>2530.4826363929219</c:v>
                </c:pt>
                <c:pt idx="171">
                  <c:v>2548.2353205782179</c:v>
                </c:pt>
                <c:pt idx="172">
                  <c:v>2566.0633348937977</c:v>
                </c:pt>
                <c:pt idx="173">
                  <c:v>2583.9668923554341</c:v>
                </c:pt>
                <c:pt idx="174">
                  <c:v>2601.9462065933999</c:v>
                </c:pt>
                <c:pt idx="175">
                  <c:v>2620.0014918542806</c:v>
                </c:pt>
                <c:pt idx="176">
                  <c:v>2638.1329630027835</c:v>
                </c:pt>
                <c:pt idx="177">
                  <c:v>2656.3408355235547</c:v>
                </c:pt>
                <c:pt idx="178">
                  <c:v>2674.6253255230099</c:v>
                </c:pt>
                <c:pt idx="179">
                  <c:v>2692.9866497311536</c:v>
                </c:pt>
                <c:pt idx="180">
                  <c:v>2711.4250255034226</c:v>
                </c:pt>
                <c:pt idx="181">
                  <c:v>2729.940670822521</c:v>
                </c:pt>
                <c:pt idx="182">
                  <c:v>2748.5338043002653</c:v>
                </c:pt>
                <c:pt idx="183">
                  <c:v>2767.2046451794408</c:v>
                </c:pt>
                <c:pt idx="184">
                  <c:v>2785.9534133356533</c:v>
                </c:pt>
                <c:pt idx="185">
                  <c:v>2804.7803292791909</c:v>
                </c:pt>
                <c:pt idx="186">
                  <c:v>2823.6856141568965</c:v>
                </c:pt>
                <c:pt idx="187">
                  <c:v>2842.6694897540369</c:v>
                </c:pt>
                <c:pt idx="188">
                  <c:v>2861.7321784961864</c:v>
                </c:pt>
                <c:pt idx="189">
                  <c:v>2880.8739034511041</c:v>
                </c:pt>
                <c:pt idx="190">
                  <c:v>2900.0948883306332</c:v>
                </c:pt>
                <c:pt idx="191">
                  <c:v>2919.3953574925895</c:v>
                </c:pt>
                <c:pt idx="192">
                  <c:v>2938.7755359426669</c:v>
                </c:pt>
                <c:pt idx="193">
                  <c:v>2958.2356493363454</c:v>
                </c:pt>
                <c:pt idx="194">
                  <c:v>2977.7759239807988</c:v>
                </c:pt>
                <c:pt idx="195">
                  <c:v>2997.3965868368227</c:v>
                </c:pt>
                <c:pt idx="196">
                  <c:v>3017.0978655207496</c:v>
                </c:pt>
                <c:pt idx="197">
                  <c:v>3036.8799883063862</c:v>
                </c:pt>
                <c:pt idx="198">
                  <c:v>3056.7431841269467</c:v>
                </c:pt>
                <c:pt idx="199">
                  <c:v>3076.6876825769928</c:v>
                </c:pt>
                <c:pt idx="200">
                  <c:v>3096.7137139143838</c:v>
                </c:pt>
                <c:pt idx="201">
                  <c:v>3116.821509062233</c:v>
                </c:pt>
                <c:pt idx="202">
                  <c:v>3137.0112996108605</c:v>
                </c:pt>
                <c:pt idx="203">
                  <c:v>3157.2833178197648</c:v>
                </c:pt>
                <c:pt idx="204">
                  <c:v>3177.6377966195892</c:v>
                </c:pt>
                <c:pt idx="205">
                  <c:v>3198.0749696141024</c:v>
                </c:pt>
                <c:pt idx="206">
                  <c:v>3218.5950710821812</c:v>
                </c:pt>
                <c:pt idx="207">
                  <c:v>3239.1983359797955</c:v>
                </c:pt>
                <c:pt idx="208">
                  <c:v>3259.8849999420113</c:v>
                </c:pt>
                <c:pt idx="209">
                  <c:v>3280.6552992849806</c:v>
                </c:pt>
                <c:pt idx="210">
                  <c:v>3301.5094710079607</c:v>
                </c:pt>
                <c:pt idx="211">
                  <c:v>3322.4477527953163</c:v>
                </c:pt>
                <c:pt idx="212">
                  <c:v>3343.4703830185449</c:v>
                </c:pt>
                <c:pt idx="213">
                  <c:v>3364.5776007383024</c:v>
                </c:pt>
                <c:pt idx="214">
                  <c:v>3385.7696457064289</c:v>
                </c:pt>
                <c:pt idx="215">
                  <c:v>3407.0467583679915</c:v>
                </c:pt>
                <c:pt idx="216">
                  <c:v>3428.4091798633231</c:v>
                </c:pt>
                <c:pt idx="217">
                  <c:v>3449.8571520300779</c:v>
                </c:pt>
                <c:pt idx="218">
                  <c:v>3471.3909174052792</c:v>
                </c:pt>
                <c:pt idx="219">
                  <c:v>3493.0107192273886</c:v>
                </c:pt>
                <c:pt idx="220">
                  <c:v>3514.7168014383692</c:v>
                </c:pt>
                <c:pt idx="221">
                  <c:v>3536.5094086857612</c:v>
                </c:pt>
                <c:pt idx="222">
                  <c:v>3558.3887863247642</c:v>
                </c:pt>
                <c:pt idx="223">
                  <c:v>3580.3551804203203</c:v>
                </c:pt>
                <c:pt idx="224">
                  <c:v>3602.4088377492094</c:v>
                </c:pt>
                <c:pt idx="225">
                  <c:v>3624.5500058021503</c:v>
                </c:pt>
                <c:pt idx="226">
                  <c:v>3646.7789327859014</c:v>
                </c:pt>
                <c:pt idx="227">
                  <c:v>3669.0958676253772</c:v>
                </c:pt>
                <c:pt idx="228">
                  <c:v>3691.5010599657621</c:v>
                </c:pt>
                <c:pt idx="229">
                  <c:v>3713.9947601746403</c:v>
                </c:pt>
                <c:pt idx="230">
                  <c:v>3736.5772193441212</c:v>
                </c:pt>
                <c:pt idx="231">
                  <c:v>3759.2486892929805</c:v>
                </c:pt>
                <c:pt idx="232">
                  <c:v>3782.0094225688049</c:v>
                </c:pt>
                <c:pt idx="233">
                  <c:v>3804.8596724501353</c:v>
                </c:pt>
                <c:pt idx="234">
                  <c:v>3827.799692948633</c:v>
                </c:pt>
                <c:pt idx="235">
                  <c:v>3850.8297388112364</c:v>
                </c:pt>
                <c:pt idx="236">
                  <c:v>3873.9500655223333</c:v>
                </c:pt>
                <c:pt idx="237">
                  <c:v>3897.160929305935</c:v>
                </c:pt>
                <c:pt idx="238">
                  <c:v>3920.4625871278608</c:v>
                </c:pt>
                <c:pt idx="239">
                  <c:v>3943.8552966979282</c:v>
                </c:pt>
                <c:pt idx="240">
                  <c:v>3967.3393164721433</c:v>
                </c:pt>
                <c:pt idx="241">
                  <c:v>3990.9149056549118</c:v>
                </c:pt>
                <c:pt idx="242">
                  <c:v>4014.5823242012398</c:v>
                </c:pt>
                <c:pt idx="243">
                  <c:v>4038.3418328189541</c:v>
                </c:pt>
                <c:pt idx="244">
                  <c:v>4062.1936929709259</c:v>
                </c:pt>
                <c:pt idx="245">
                  <c:v>4086.1381668772942</c:v>
                </c:pt>
                <c:pt idx="246">
                  <c:v>4110.1755175177041</c:v>
                </c:pt>
                <c:pt idx="247">
                  <c:v>4134.3060086335536</c:v>
                </c:pt>
                <c:pt idx="248">
                  <c:v>4158.5299047302369</c:v>
                </c:pt>
                <c:pt idx="249">
                  <c:v>4182.8474710794007</c:v>
                </c:pt>
                <c:pt idx="250">
                  <c:v>4207.2589737212129</c:v>
                </c:pt>
                <c:pt idx="251">
                  <c:v>4231.7646794666234</c:v>
                </c:pt>
                <c:pt idx="252">
                  <c:v>4256.3648558996483</c:v>
                </c:pt>
                <c:pt idx="253">
                  <c:v>4281.059771379646</c:v>
                </c:pt>
                <c:pt idx="254">
                  <c:v>4305.8496950436165</c:v>
                </c:pt>
                <c:pt idx="255">
                  <c:v>4330.7348968084862</c:v>
                </c:pt>
                <c:pt idx="256">
                  <c:v>4355.7156473734221</c:v>
                </c:pt>
                <c:pt idx="257">
                  <c:v>4380.7922182221391</c:v>
                </c:pt>
                <c:pt idx="258">
                  <c:v>4405.9648816252156</c:v>
                </c:pt>
                <c:pt idx="259">
                  <c:v>4431.2339106424215</c:v>
                </c:pt>
                <c:pt idx="260">
                  <c:v>4456.5995791250461</c:v>
                </c:pt>
                <c:pt idx="261">
                  <c:v>4482.0621617182405</c:v>
                </c:pt>
                <c:pt idx="262">
                  <c:v>4507.6219338633618</c:v>
                </c:pt>
                <c:pt idx="263">
                  <c:v>4533.2791718003255</c:v>
                </c:pt>
                <c:pt idx="264">
                  <c:v>4559.0341525699641</c:v>
                </c:pt>
                <c:pt idx="265">
                  <c:v>4584.8871540164</c:v>
                </c:pt>
                <c:pt idx="266">
                  <c:v>4610.8384547894093</c:v>
                </c:pt>
                <c:pt idx="267">
                  <c:v>4636.8883343468115</c:v>
                </c:pt>
                <c:pt idx="268">
                  <c:v>4663.0370729568585</c:v>
                </c:pt>
                <c:pt idx="269">
                  <c:v>4689.2849517006216</c:v>
                </c:pt>
                <c:pt idx="270">
                  <c:v>4715.6322524744028</c:v>
                </c:pt>
                <c:pt idx="271">
                  <c:v>4742.0792579921399</c:v>
                </c:pt>
                <c:pt idx="272">
                  <c:v>4768.6262517878249</c:v>
                </c:pt>
                <c:pt idx="273">
                  <c:v>4795.2735182179322</c:v>
                </c:pt>
                <c:pt idx="274">
                  <c:v>4822.0213424638441</c:v>
                </c:pt>
                <c:pt idx="275">
                  <c:v>4848.8700105342923</c:v>
                </c:pt>
                <c:pt idx="276">
                  <c:v>4875.8198092678076</c:v>
                </c:pt>
                <c:pt idx="277">
                  <c:v>4902.8710263351722</c:v>
                </c:pt>
                <c:pt idx="278">
                  <c:v>4930.0239502418754</c:v>
                </c:pt>
                <c:pt idx="279">
                  <c:v>4957.2788703305905</c:v>
                </c:pt>
                <c:pt idx="280">
                  <c:v>4984.636076783645</c:v>
                </c:pt>
                <c:pt idx="281">
                  <c:v>5012.0958606255062</c:v>
                </c:pt>
                <c:pt idx="282">
                  <c:v>5039.658513725275</c:v>
                </c:pt>
                <c:pt idx="283">
                  <c:v>5067.3243287991781</c:v>
                </c:pt>
                <c:pt idx="284">
                  <c:v>5095.0935994130778</c:v>
                </c:pt>
                <c:pt idx="285">
                  <c:v>5122.966619984988</c:v>
                </c:pt>
                <c:pt idx="286">
                  <c:v>5150.943685787588</c:v>
                </c:pt>
                <c:pt idx="287">
                  <c:v>5179.0250929507611</c:v>
                </c:pt>
                <c:pt idx="288">
                  <c:v>5207.2111384641212</c:v>
                </c:pt>
                <c:pt idx="289">
                  <c:v>5235.5021201795616</c:v>
                </c:pt>
                <c:pt idx="290">
                  <c:v>5263.8983368138088</c:v>
                </c:pt>
                <c:pt idx="291">
                  <c:v>5292.4000879509758</c:v>
                </c:pt>
                <c:pt idx="292">
                  <c:v>5321.007674045135</c:v>
                </c:pt>
                <c:pt idx="293">
                  <c:v>5349.7213964228886</c:v>
                </c:pt>
                <c:pt idx="294">
                  <c:v>5378.5415572859529</c:v>
                </c:pt>
                <c:pt idx="295">
                  <c:v>5407.4684597137511</c:v>
                </c:pt>
                <c:pt idx="296">
                  <c:v>5436.5024076660056</c:v>
                </c:pt>
                <c:pt idx="297">
                  <c:v>5465.643705985347</c:v>
                </c:pt>
                <c:pt idx="298">
                  <c:v>5494.8926603999298</c:v>
                </c:pt>
                <c:pt idx="299">
                  <c:v>5524.2495775260513</c:v>
                </c:pt>
                <c:pt idx="300">
                  <c:v>5553.7147648707833</c:v>
                </c:pt>
                <c:pt idx="301">
                  <c:v>5583.2885308346058</c:v>
                </c:pt>
                <c:pt idx="302">
                  <c:v>5612.9711847140561</c:v>
                </c:pt>
                <c:pt idx="303">
                  <c:v>5642.7630367043803</c:v>
                </c:pt>
                <c:pt idx="304">
                  <c:v>5672.6643979021974</c:v>
                </c:pt>
                <c:pt idx="305">
                  <c:v>5702.6755803081633</c:v>
                </c:pt>
                <c:pt idx="306">
                  <c:v>5732.7968968296555</c:v>
                </c:pt>
                <c:pt idx="307">
                  <c:v>5763.0286612834516</c:v>
                </c:pt>
                <c:pt idx="308">
                  <c:v>5793.3711883984261</c:v>
                </c:pt>
                <c:pt idx="309">
                  <c:v>5823.8247938182521</c:v>
                </c:pt>
                <c:pt idx="310">
                  <c:v>5854.3897941041114</c:v>
                </c:pt>
                <c:pt idx="311">
                  <c:v>5885.0665067374121</c:v>
                </c:pt>
                <c:pt idx="312">
                  <c:v>5915.8552501225131</c:v>
                </c:pt>
                <c:pt idx="313">
                  <c:v>5946.7563435894617</c:v>
                </c:pt>
                <c:pt idx="314">
                  <c:v>5977.7701073967373</c:v>
                </c:pt>
                <c:pt idx="315">
                  <c:v>6008.8968627339946</c:v>
                </c:pt>
                <c:pt idx="316">
                  <c:v>6040.1369317248318</c:v>
                </c:pt>
                <c:pt idx="317">
                  <c:v>6071.4906374295515</c:v>
                </c:pt>
                <c:pt idx="318">
                  <c:v>6102.9583038479432</c:v>
                </c:pt>
                <c:pt idx="319">
                  <c:v>6134.540255922062</c:v>
                </c:pt>
                <c:pt idx="320">
                  <c:v>6166.2368195390218</c:v>
                </c:pt>
                <c:pt idx="321">
                  <c:v>6198.0483215338018</c:v>
                </c:pt>
                <c:pt idx="322">
                  <c:v>6229.9750896920459</c:v>
                </c:pt>
                <c:pt idx="323">
                  <c:v>6262.0174527528943</c:v>
                </c:pt>
                <c:pt idx="324">
                  <c:v>6294.1757404117961</c:v>
                </c:pt>
                <c:pt idx="325">
                  <c:v>6326.4502833233546</c:v>
                </c:pt>
                <c:pt idx="326">
                  <c:v>6358.8414131041654</c:v>
                </c:pt>
                <c:pt idx="327">
                  <c:v>6391.3494623356701</c:v>
                </c:pt>
                <c:pt idx="328">
                  <c:v>6423.9747645670195</c:v>
                </c:pt>
                <c:pt idx="329">
                  <c:v>6456.7176543179376</c:v>
                </c:pt>
                <c:pt idx="330">
                  <c:v>6489.5784670816056</c:v>
                </c:pt>
                <c:pt idx="331">
                  <c:v>6522.5575393275449</c:v>
                </c:pt>
                <c:pt idx="332">
                  <c:v>6555.6552085045114</c:v>
                </c:pt>
                <c:pt idx="333">
                  <c:v>6588.8718130434063</c:v>
                </c:pt>
                <c:pt idx="334">
                  <c:v>6622.2076923601817</c:v>
                </c:pt>
                <c:pt idx="335">
                  <c:v>6655.6631868587638</c:v>
                </c:pt>
                <c:pt idx="336">
                  <c:v>6689.2386379339896</c:v>
                </c:pt>
                <c:pt idx="337">
                  <c:v>6722.9343879745384</c:v>
                </c:pt>
                <c:pt idx="338">
                  <c:v>6756.7507803658818</c:v>
                </c:pt>
                <c:pt idx="339">
                  <c:v>6790.6881594932456</c:v>
                </c:pt>
                <c:pt idx="340">
                  <c:v>6824.7468707445732</c:v>
                </c:pt>
                <c:pt idx="341">
                  <c:v>6858.9272605134965</c:v>
                </c:pt>
                <c:pt idx="342">
                  <c:v>6893.2296762023252</c:v>
                </c:pt>
                <c:pt idx="343">
                  <c:v>6927.6544662250408</c:v>
                </c:pt>
                <c:pt idx="344">
                  <c:v>6962.2019800102935</c:v>
                </c:pt>
                <c:pt idx="345">
                  <c:v>6996.8725680044163</c:v>
                </c:pt>
                <c:pt idx="346">
                  <c:v>7031.6665816744471</c:v>
                </c:pt>
                <c:pt idx="347">
                  <c:v>7066.584373511153</c:v>
                </c:pt>
                <c:pt idx="348">
                  <c:v>7101.6262970320713</c:v>
                </c:pt>
                <c:pt idx="349">
                  <c:v>7136.7927067845621</c:v>
                </c:pt>
                <c:pt idx="350">
                  <c:v>7172.0839583488578</c:v>
                </c:pt>
                <c:pt idx="351">
                  <c:v>7207.5004083411322</c:v>
                </c:pt>
                <c:pt idx="352">
                  <c:v>7243.0424144165763</c:v>
                </c:pt>
                <c:pt idx="353">
                  <c:v>7278.7103352724807</c:v>
                </c:pt>
                <c:pt idx="354">
                  <c:v>7314.5045306513366</c:v>
                </c:pt>
                <c:pt idx="355">
                  <c:v>7350.4253613439269</c:v>
                </c:pt>
                <c:pt idx="356">
                  <c:v>7386.4731891924512</c:v>
                </c:pt>
                <c:pt idx="357">
                  <c:v>7422.6483770936402</c:v>
                </c:pt>
                <c:pt idx="358">
                  <c:v>7458.9512890018905</c:v>
                </c:pt>
                <c:pt idx="359">
                  <c:v>7495.3822899324077</c:v>
                </c:pt>
                <c:pt idx="360">
                  <c:v>7531.9417459643482</c:v>
                </c:pt>
                <c:pt idx="361">
                  <c:v>7568.6300242439884</c:v>
                </c:pt>
                <c:pt idx="362">
                  <c:v>7605.384739585068</c:v>
                </c:pt>
                <c:pt idx="363">
                  <c:v>7642.2060558393023</c:v>
                </c:pt>
                <c:pt idx="364">
                  <c:v>7679.0941372625111</c:v>
                </c:pt>
                <c:pt idx="365">
                  <c:v>7716.0491485156126</c:v>
                </c:pt>
                <c:pt idx="366">
                  <c:v>7753.0712546656232</c:v>
                </c:pt>
                <c:pt idx="367">
                  <c:v>7790.1606211866583</c:v>
                </c:pt>
                <c:pt idx="368">
                  <c:v>7827.3174139609382</c:v>
                </c:pt>
                <c:pt idx="369">
                  <c:v>7864.5417992797938</c:v>
                </c:pt>
                <c:pt idx="370">
                  <c:v>7901.8339438446728</c:v>
                </c:pt>
                <c:pt idx="371">
                  <c:v>7939.194014768158</c:v>
                </c:pt>
                <c:pt idx="372">
                  <c:v>7976.6221795749716</c:v>
                </c:pt>
                <c:pt idx="373">
                  <c:v>8014.118606203001</c:v>
                </c:pt>
                <c:pt idx="374">
                  <c:v>8051.683463004314</c:v>
                </c:pt>
                <c:pt idx="375">
                  <c:v>8089.3169187461754</c:v>
                </c:pt>
                <c:pt idx="376">
                  <c:v>8127.0191426120819</c:v>
                </c:pt>
                <c:pt idx="377">
                  <c:v>8164.7903042027774</c:v>
                </c:pt>
                <c:pt idx="378">
                  <c:v>8202.630573537288</c:v>
                </c:pt>
                <c:pt idx="379">
                  <c:v>8240.5401210539549</c:v>
                </c:pt>
                <c:pt idx="380">
                  <c:v>8278.519117611464</c:v>
                </c:pt>
                <c:pt idx="381">
                  <c:v>8316.567734489885</c:v>
                </c:pt>
                <c:pt idx="382">
                  <c:v>8354.6861433917111</c:v>
                </c:pt>
                <c:pt idx="383">
                  <c:v>8392.8745164429001</c:v>
                </c:pt>
                <c:pt idx="384">
                  <c:v>8431.1330261939183</c:v>
                </c:pt>
                <c:pt idx="385">
                  <c:v>8469.46184562079</c:v>
                </c:pt>
                <c:pt idx="386">
                  <c:v>8507.8611481261414</c:v>
                </c:pt>
                <c:pt idx="387">
                  <c:v>8546.3311075402598</c:v>
                </c:pt>
                <c:pt idx="388">
                  <c:v>8584.8718981221427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A5-49C6-8DBC-994E1BF2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927247"/>
        <c:axId val="485927727"/>
      </c:scatterChart>
      <c:valAx>
        <c:axId val="485927247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85927727"/>
        <c:crosses val="autoZero"/>
        <c:crossBetween val="midCat"/>
      </c:valAx>
      <c:valAx>
        <c:axId val="48592772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859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S"/>
              <a:t>IRR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Simulación!$C$40:$C$424</c:f>
              <c:numCache>
                <c:formatCode>0.0</c:formatCode>
                <c:ptCount val="385"/>
                <c:pt idx="0">
                  <c:v>0.33333333333333331</c:v>
                </c:pt>
                <c:pt idx="1">
                  <c:v>0.41666666666666669</c:v>
                </c:pt>
                <c:pt idx="2">
                  <c:v>0.5</c:v>
                </c:pt>
                <c:pt idx="3">
                  <c:v>0.58333333333333337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0.83333333333333337</c:v>
                </c:pt>
                <c:pt idx="7">
                  <c:v>0.91666666666666663</c:v>
                </c:pt>
                <c:pt idx="8">
                  <c:v>1</c:v>
                </c:pt>
                <c:pt idx="9">
                  <c:v>1.0833333333333333</c:v>
                </c:pt>
                <c:pt idx="10">
                  <c:v>1.1666666666666667</c:v>
                </c:pt>
                <c:pt idx="11">
                  <c:v>1.25</c:v>
                </c:pt>
                <c:pt idx="12">
                  <c:v>1.3333333333333333</c:v>
                </c:pt>
                <c:pt idx="13">
                  <c:v>1.4166666666666667</c:v>
                </c:pt>
                <c:pt idx="14">
                  <c:v>1.5</c:v>
                </c:pt>
                <c:pt idx="15">
                  <c:v>1.5833333333333333</c:v>
                </c:pt>
                <c:pt idx="16">
                  <c:v>1.6666666666666667</c:v>
                </c:pt>
                <c:pt idx="17">
                  <c:v>1.75</c:v>
                </c:pt>
                <c:pt idx="18">
                  <c:v>1.8333333333333333</c:v>
                </c:pt>
                <c:pt idx="19">
                  <c:v>1.9166666666666667</c:v>
                </c:pt>
                <c:pt idx="20">
                  <c:v>2</c:v>
                </c:pt>
                <c:pt idx="21">
                  <c:v>2.0833333333333335</c:v>
                </c:pt>
                <c:pt idx="22">
                  <c:v>2.1666666666666665</c:v>
                </c:pt>
                <c:pt idx="23">
                  <c:v>2.25</c:v>
                </c:pt>
                <c:pt idx="24">
                  <c:v>2.3333333333333335</c:v>
                </c:pt>
                <c:pt idx="25">
                  <c:v>2.4166666666666665</c:v>
                </c:pt>
                <c:pt idx="26">
                  <c:v>2.5</c:v>
                </c:pt>
                <c:pt idx="27">
                  <c:v>2.5833333333333335</c:v>
                </c:pt>
                <c:pt idx="28">
                  <c:v>2.6666666666666665</c:v>
                </c:pt>
                <c:pt idx="29">
                  <c:v>2.75</c:v>
                </c:pt>
                <c:pt idx="30">
                  <c:v>2.8333333333333335</c:v>
                </c:pt>
                <c:pt idx="31">
                  <c:v>2.9166666666666665</c:v>
                </c:pt>
                <c:pt idx="32">
                  <c:v>3</c:v>
                </c:pt>
                <c:pt idx="33">
                  <c:v>3.0833333333333335</c:v>
                </c:pt>
                <c:pt idx="34">
                  <c:v>3.1666666666666665</c:v>
                </c:pt>
                <c:pt idx="35">
                  <c:v>3.25</c:v>
                </c:pt>
                <c:pt idx="36">
                  <c:v>3.3333333333333335</c:v>
                </c:pt>
                <c:pt idx="37">
                  <c:v>3.4166666666666665</c:v>
                </c:pt>
                <c:pt idx="38">
                  <c:v>3.5</c:v>
                </c:pt>
                <c:pt idx="39">
                  <c:v>3.5833333333333335</c:v>
                </c:pt>
                <c:pt idx="40">
                  <c:v>3.6666666666666665</c:v>
                </c:pt>
                <c:pt idx="41">
                  <c:v>3.75</c:v>
                </c:pt>
                <c:pt idx="42">
                  <c:v>3.8333333333333335</c:v>
                </c:pt>
                <c:pt idx="43">
                  <c:v>3.9166666666666665</c:v>
                </c:pt>
                <c:pt idx="44">
                  <c:v>4</c:v>
                </c:pt>
                <c:pt idx="45">
                  <c:v>4.083333333333333</c:v>
                </c:pt>
                <c:pt idx="46">
                  <c:v>4.166666666666667</c:v>
                </c:pt>
                <c:pt idx="47">
                  <c:v>4.25</c:v>
                </c:pt>
                <c:pt idx="48">
                  <c:v>4.333333333333333</c:v>
                </c:pt>
                <c:pt idx="49">
                  <c:v>4.416666666666667</c:v>
                </c:pt>
                <c:pt idx="50">
                  <c:v>4.5</c:v>
                </c:pt>
                <c:pt idx="51">
                  <c:v>4.583333333333333</c:v>
                </c:pt>
                <c:pt idx="52">
                  <c:v>4.666666666666667</c:v>
                </c:pt>
                <c:pt idx="53">
                  <c:v>4.75</c:v>
                </c:pt>
                <c:pt idx="54">
                  <c:v>4.833333333333333</c:v>
                </c:pt>
                <c:pt idx="55">
                  <c:v>4.916666666666667</c:v>
                </c:pt>
                <c:pt idx="56">
                  <c:v>5</c:v>
                </c:pt>
                <c:pt idx="57">
                  <c:v>5.083333333333333</c:v>
                </c:pt>
                <c:pt idx="58">
                  <c:v>5.166666666666667</c:v>
                </c:pt>
                <c:pt idx="59">
                  <c:v>5.25</c:v>
                </c:pt>
                <c:pt idx="60">
                  <c:v>5.333333333333333</c:v>
                </c:pt>
                <c:pt idx="61">
                  <c:v>5.416666666666667</c:v>
                </c:pt>
                <c:pt idx="62">
                  <c:v>5.5</c:v>
                </c:pt>
                <c:pt idx="63">
                  <c:v>5.583333333333333</c:v>
                </c:pt>
                <c:pt idx="64">
                  <c:v>5.666666666666667</c:v>
                </c:pt>
                <c:pt idx="65">
                  <c:v>5.75</c:v>
                </c:pt>
                <c:pt idx="66">
                  <c:v>5.833333333333333</c:v>
                </c:pt>
                <c:pt idx="67">
                  <c:v>5.916666666666667</c:v>
                </c:pt>
                <c:pt idx="68">
                  <c:v>6</c:v>
                </c:pt>
                <c:pt idx="69">
                  <c:v>6.083333333333333</c:v>
                </c:pt>
                <c:pt idx="70">
                  <c:v>6.166666666666667</c:v>
                </c:pt>
                <c:pt idx="71">
                  <c:v>6.25</c:v>
                </c:pt>
                <c:pt idx="72">
                  <c:v>6.333333333333333</c:v>
                </c:pt>
                <c:pt idx="73">
                  <c:v>6.416666666666667</c:v>
                </c:pt>
                <c:pt idx="74">
                  <c:v>6.5</c:v>
                </c:pt>
                <c:pt idx="75">
                  <c:v>6.583333333333333</c:v>
                </c:pt>
                <c:pt idx="76">
                  <c:v>6.666666666666667</c:v>
                </c:pt>
                <c:pt idx="77">
                  <c:v>6.75</c:v>
                </c:pt>
                <c:pt idx="78">
                  <c:v>6.833333333333333</c:v>
                </c:pt>
                <c:pt idx="79">
                  <c:v>6.916666666666667</c:v>
                </c:pt>
                <c:pt idx="80">
                  <c:v>7</c:v>
                </c:pt>
                <c:pt idx="81">
                  <c:v>7.083333333333333</c:v>
                </c:pt>
                <c:pt idx="82">
                  <c:v>7.166666666666667</c:v>
                </c:pt>
                <c:pt idx="83">
                  <c:v>7.25</c:v>
                </c:pt>
                <c:pt idx="84">
                  <c:v>7.333333333333333</c:v>
                </c:pt>
                <c:pt idx="85">
                  <c:v>7.416666666666667</c:v>
                </c:pt>
                <c:pt idx="86">
                  <c:v>7.5</c:v>
                </c:pt>
                <c:pt idx="87">
                  <c:v>7.583333333333333</c:v>
                </c:pt>
                <c:pt idx="88">
                  <c:v>7.666666666666667</c:v>
                </c:pt>
                <c:pt idx="89">
                  <c:v>7.75</c:v>
                </c:pt>
                <c:pt idx="90">
                  <c:v>7.833333333333333</c:v>
                </c:pt>
                <c:pt idx="91">
                  <c:v>7.916666666666667</c:v>
                </c:pt>
                <c:pt idx="92">
                  <c:v>8</c:v>
                </c:pt>
                <c:pt idx="93">
                  <c:v>8.0833333333333339</c:v>
                </c:pt>
                <c:pt idx="94">
                  <c:v>8.1666666666666661</c:v>
                </c:pt>
                <c:pt idx="95">
                  <c:v>8.25</c:v>
                </c:pt>
                <c:pt idx="96">
                  <c:v>8.3333333333333339</c:v>
                </c:pt>
                <c:pt idx="97">
                  <c:v>8.4166666666666661</c:v>
                </c:pt>
                <c:pt idx="98">
                  <c:v>8.5</c:v>
                </c:pt>
                <c:pt idx="99">
                  <c:v>8.5833333333333339</c:v>
                </c:pt>
                <c:pt idx="100">
                  <c:v>8.6666666666666661</c:v>
                </c:pt>
                <c:pt idx="101">
                  <c:v>8.75</c:v>
                </c:pt>
                <c:pt idx="102">
                  <c:v>8.8333333333333339</c:v>
                </c:pt>
                <c:pt idx="103">
                  <c:v>8.9166666666666661</c:v>
                </c:pt>
                <c:pt idx="104">
                  <c:v>9</c:v>
                </c:pt>
                <c:pt idx="105">
                  <c:v>9.0833333333333339</c:v>
                </c:pt>
                <c:pt idx="106">
                  <c:v>9.1666666666666661</c:v>
                </c:pt>
                <c:pt idx="107">
                  <c:v>9.25</c:v>
                </c:pt>
                <c:pt idx="108">
                  <c:v>9.3333333333333339</c:v>
                </c:pt>
                <c:pt idx="109">
                  <c:v>9.4166666666666661</c:v>
                </c:pt>
                <c:pt idx="110">
                  <c:v>9.5</c:v>
                </c:pt>
                <c:pt idx="111">
                  <c:v>9.5833333333333339</c:v>
                </c:pt>
                <c:pt idx="112">
                  <c:v>9.6666666666666661</c:v>
                </c:pt>
                <c:pt idx="113">
                  <c:v>9.75</c:v>
                </c:pt>
                <c:pt idx="114">
                  <c:v>9.8333333333333339</c:v>
                </c:pt>
                <c:pt idx="115">
                  <c:v>9.9166666666666661</c:v>
                </c:pt>
                <c:pt idx="116">
                  <c:v>10</c:v>
                </c:pt>
                <c:pt idx="117">
                  <c:v>10.083333333333334</c:v>
                </c:pt>
                <c:pt idx="118">
                  <c:v>10.166666666666666</c:v>
                </c:pt>
                <c:pt idx="119">
                  <c:v>10.25</c:v>
                </c:pt>
                <c:pt idx="120">
                  <c:v>10.333333333333334</c:v>
                </c:pt>
                <c:pt idx="121">
                  <c:v>10.416666666666666</c:v>
                </c:pt>
                <c:pt idx="122">
                  <c:v>10.5</c:v>
                </c:pt>
                <c:pt idx="123">
                  <c:v>10.583333333333334</c:v>
                </c:pt>
                <c:pt idx="124">
                  <c:v>10.666666666666666</c:v>
                </c:pt>
                <c:pt idx="125">
                  <c:v>10.75</c:v>
                </c:pt>
                <c:pt idx="126">
                  <c:v>10.833333333333334</c:v>
                </c:pt>
                <c:pt idx="127">
                  <c:v>10.916666666666666</c:v>
                </c:pt>
                <c:pt idx="128">
                  <c:v>11</c:v>
                </c:pt>
                <c:pt idx="129">
                  <c:v>11.083333333333334</c:v>
                </c:pt>
                <c:pt idx="130">
                  <c:v>11.166666666666666</c:v>
                </c:pt>
                <c:pt idx="131">
                  <c:v>11.25</c:v>
                </c:pt>
                <c:pt idx="132">
                  <c:v>11.333333333333334</c:v>
                </c:pt>
                <c:pt idx="133">
                  <c:v>11.416666666666666</c:v>
                </c:pt>
                <c:pt idx="134">
                  <c:v>11.5</c:v>
                </c:pt>
                <c:pt idx="135">
                  <c:v>11.583333333333334</c:v>
                </c:pt>
                <c:pt idx="136">
                  <c:v>11.666666666666666</c:v>
                </c:pt>
                <c:pt idx="137">
                  <c:v>11.75</c:v>
                </c:pt>
                <c:pt idx="138">
                  <c:v>11.833333333333334</c:v>
                </c:pt>
                <c:pt idx="139">
                  <c:v>11.916666666666666</c:v>
                </c:pt>
                <c:pt idx="140">
                  <c:v>12</c:v>
                </c:pt>
                <c:pt idx="141">
                  <c:v>12.083333333333334</c:v>
                </c:pt>
                <c:pt idx="142">
                  <c:v>12.166666666666666</c:v>
                </c:pt>
                <c:pt idx="143">
                  <c:v>12.25</c:v>
                </c:pt>
                <c:pt idx="144">
                  <c:v>12.333333333333334</c:v>
                </c:pt>
                <c:pt idx="145">
                  <c:v>12.416666666666666</c:v>
                </c:pt>
                <c:pt idx="146">
                  <c:v>12.5</c:v>
                </c:pt>
                <c:pt idx="147">
                  <c:v>12.583333333333334</c:v>
                </c:pt>
                <c:pt idx="148">
                  <c:v>12.666666666666666</c:v>
                </c:pt>
                <c:pt idx="149">
                  <c:v>12.75</c:v>
                </c:pt>
                <c:pt idx="150">
                  <c:v>12.833333333333334</c:v>
                </c:pt>
                <c:pt idx="151">
                  <c:v>12.916666666666666</c:v>
                </c:pt>
                <c:pt idx="152">
                  <c:v>13</c:v>
                </c:pt>
                <c:pt idx="153">
                  <c:v>13.083333333333334</c:v>
                </c:pt>
                <c:pt idx="154">
                  <c:v>13.166666666666666</c:v>
                </c:pt>
                <c:pt idx="155">
                  <c:v>13.25</c:v>
                </c:pt>
                <c:pt idx="156">
                  <c:v>13.333333333333334</c:v>
                </c:pt>
                <c:pt idx="157">
                  <c:v>13.416666666666666</c:v>
                </c:pt>
                <c:pt idx="158">
                  <c:v>13.5</c:v>
                </c:pt>
                <c:pt idx="159">
                  <c:v>13.583333333333334</c:v>
                </c:pt>
                <c:pt idx="160">
                  <c:v>13.666666666666666</c:v>
                </c:pt>
                <c:pt idx="161">
                  <c:v>13.75</c:v>
                </c:pt>
                <c:pt idx="162">
                  <c:v>13.833333333333334</c:v>
                </c:pt>
                <c:pt idx="163">
                  <c:v>13.916666666666666</c:v>
                </c:pt>
                <c:pt idx="164">
                  <c:v>14</c:v>
                </c:pt>
                <c:pt idx="165">
                  <c:v>14.083333333333334</c:v>
                </c:pt>
                <c:pt idx="166">
                  <c:v>14.166666666666666</c:v>
                </c:pt>
                <c:pt idx="167">
                  <c:v>14.25</c:v>
                </c:pt>
                <c:pt idx="168">
                  <c:v>14.333333333333334</c:v>
                </c:pt>
                <c:pt idx="169">
                  <c:v>14.416666666666666</c:v>
                </c:pt>
                <c:pt idx="170">
                  <c:v>14.5</c:v>
                </c:pt>
                <c:pt idx="171">
                  <c:v>14.583333333333334</c:v>
                </c:pt>
                <c:pt idx="172">
                  <c:v>14.666666666666666</c:v>
                </c:pt>
                <c:pt idx="173">
                  <c:v>14.75</c:v>
                </c:pt>
                <c:pt idx="174">
                  <c:v>14.833333333333334</c:v>
                </c:pt>
                <c:pt idx="175">
                  <c:v>14.916666666666666</c:v>
                </c:pt>
                <c:pt idx="176">
                  <c:v>15</c:v>
                </c:pt>
                <c:pt idx="177">
                  <c:v>15.083333333333334</c:v>
                </c:pt>
                <c:pt idx="178">
                  <c:v>15.166666666666666</c:v>
                </c:pt>
                <c:pt idx="179">
                  <c:v>15.25</c:v>
                </c:pt>
                <c:pt idx="180">
                  <c:v>15.333333333333334</c:v>
                </c:pt>
                <c:pt idx="181">
                  <c:v>15.416666666666666</c:v>
                </c:pt>
                <c:pt idx="182">
                  <c:v>15.5</c:v>
                </c:pt>
                <c:pt idx="183">
                  <c:v>15.583333333333334</c:v>
                </c:pt>
                <c:pt idx="184">
                  <c:v>15.666666666666666</c:v>
                </c:pt>
                <c:pt idx="185">
                  <c:v>15.75</c:v>
                </c:pt>
                <c:pt idx="186">
                  <c:v>15.833333333333334</c:v>
                </c:pt>
                <c:pt idx="187">
                  <c:v>15.916666666666666</c:v>
                </c:pt>
                <c:pt idx="188">
                  <c:v>16</c:v>
                </c:pt>
                <c:pt idx="189">
                  <c:v>16.083333333333332</c:v>
                </c:pt>
                <c:pt idx="190">
                  <c:v>16.166666666666668</c:v>
                </c:pt>
                <c:pt idx="191">
                  <c:v>16.25</c:v>
                </c:pt>
                <c:pt idx="192">
                  <c:v>16.333333333333332</c:v>
                </c:pt>
                <c:pt idx="193">
                  <c:v>16.416666666666668</c:v>
                </c:pt>
                <c:pt idx="194">
                  <c:v>16.5</c:v>
                </c:pt>
                <c:pt idx="195">
                  <c:v>16.583333333333332</c:v>
                </c:pt>
                <c:pt idx="196">
                  <c:v>16.666666666666668</c:v>
                </c:pt>
                <c:pt idx="197">
                  <c:v>16.75</c:v>
                </c:pt>
                <c:pt idx="198">
                  <c:v>16.833333333333332</c:v>
                </c:pt>
                <c:pt idx="199">
                  <c:v>16.916666666666668</c:v>
                </c:pt>
                <c:pt idx="200">
                  <c:v>17</c:v>
                </c:pt>
                <c:pt idx="201">
                  <c:v>17.083333333333332</c:v>
                </c:pt>
                <c:pt idx="202">
                  <c:v>17.166666666666668</c:v>
                </c:pt>
                <c:pt idx="203">
                  <c:v>17.25</c:v>
                </c:pt>
                <c:pt idx="204">
                  <c:v>17.333333333333332</c:v>
                </c:pt>
                <c:pt idx="205">
                  <c:v>17.416666666666668</c:v>
                </c:pt>
                <c:pt idx="206">
                  <c:v>17.5</c:v>
                </c:pt>
                <c:pt idx="207">
                  <c:v>17.583333333333332</c:v>
                </c:pt>
                <c:pt idx="208">
                  <c:v>17.666666666666668</c:v>
                </c:pt>
                <c:pt idx="209">
                  <c:v>17.75</c:v>
                </c:pt>
                <c:pt idx="210">
                  <c:v>17.833333333333332</c:v>
                </c:pt>
                <c:pt idx="211">
                  <c:v>17.916666666666668</c:v>
                </c:pt>
                <c:pt idx="212">
                  <c:v>18</c:v>
                </c:pt>
                <c:pt idx="213">
                  <c:v>18.083333333333332</c:v>
                </c:pt>
                <c:pt idx="214">
                  <c:v>18.166666666666668</c:v>
                </c:pt>
                <c:pt idx="215">
                  <c:v>18.25</c:v>
                </c:pt>
                <c:pt idx="216">
                  <c:v>18.333333333333332</c:v>
                </c:pt>
                <c:pt idx="217">
                  <c:v>18.416666666666668</c:v>
                </c:pt>
                <c:pt idx="218">
                  <c:v>18.5</c:v>
                </c:pt>
                <c:pt idx="219">
                  <c:v>18.583333333333332</c:v>
                </c:pt>
                <c:pt idx="220">
                  <c:v>18.666666666666668</c:v>
                </c:pt>
                <c:pt idx="221">
                  <c:v>18.75</c:v>
                </c:pt>
                <c:pt idx="222">
                  <c:v>18.833333333333332</c:v>
                </c:pt>
                <c:pt idx="223">
                  <c:v>18.916666666666668</c:v>
                </c:pt>
                <c:pt idx="224">
                  <c:v>19</c:v>
                </c:pt>
                <c:pt idx="225">
                  <c:v>19.083333333333332</c:v>
                </c:pt>
                <c:pt idx="226">
                  <c:v>19.166666666666668</c:v>
                </c:pt>
                <c:pt idx="227">
                  <c:v>19.25</c:v>
                </c:pt>
                <c:pt idx="228">
                  <c:v>19.333333333333332</c:v>
                </c:pt>
                <c:pt idx="229">
                  <c:v>19.416666666666668</c:v>
                </c:pt>
                <c:pt idx="230">
                  <c:v>19.5</c:v>
                </c:pt>
                <c:pt idx="231">
                  <c:v>19.583333333333332</c:v>
                </c:pt>
                <c:pt idx="232">
                  <c:v>19.666666666666668</c:v>
                </c:pt>
                <c:pt idx="233">
                  <c:v>19.75</c:v>
                </c:pt>
                <c:pt idx="234">
                  <c:v>19.833333333333332</c:v>
                </c:pt>
                <c:pt idx="235">
                  <c:v>19.916666666666668</c:v>
                </c:pt>
                <c:pt idx="236">
                  <c:v>20</c:v>
                </c:pt>
                <c:pt idx="237">
                  <c:v>20.083333333333332</c:v>
                </c:pt>
                <c:pt idx="238">
                  <c:v>20.166666666666668</c:v>
                </c:pt>
                <c:pt idx="239">
                  <c:v>20.25</c:v>
                </c:pt>
                <c:pt idx="240">
                  <c:v>20.333333333333332</c:v>
                </c:pt>
                <c:pt idx="241">
                  <c:v>20.416666666666668</c:v>
                </c:pt>
                <c:pt idx="242">
                  <c:v>20.5</c:v>
                </c:pt>
                <c:pt idx="243">
                  <c:v>20.583333333333332</c:v>
                </c:pt>
                <c:pt idx="244">
                  <c:v>20.666666666666668</c:v>
                </c:pt>
                <c:pt idx="245">
                  <c:v>20.75</c:v>
                </c:pt>
                <c:pt idx="246">
                  <c:v>20.833333333333332</c:v>
                </c:pt>
                <c:pt idx="247">
                  <c:v>20.916666666666668</c:v>
                </c:pt>
                <c:pt idx="248">
                  <c:v>21</c:v>
                </c:pt>
                <c:pt idx="249">
                  <c:v>21.083333333333332</c:v>
                </c:pt>
                <c:pt idx="250">
                  <c:v>21.166666666666668</c:v>
                </c:pt>
                <c:pt idx="251">
                  <c:v>21.25</c:v>
                </c:pt>
                <c:pt idx="252">
                  <c:v>21.333333333333332</c:v>
                </c:pt>
                <c:pt idx="253">
                  <c:v>21.416666666666668</c:v>
                </c:pt>
                <c:pt idx="254">
                  <c:v>21.5</c:v>
                </c:pt>
                <c:pt idx="255">
                  <c:v>21.583333333333332</c:v>
                </c:pt>
                <c:pt idx="256">
                  <c:v>21.666666666666668</c:v>
                </c:pt>
                <c:pt idx="257">
                  <c:v>21.75</c:v>
                </c:pt>
                <c:pt idx="258">
                  <c:v>21.833333333333332</c:v>
                </c:pt>
                <c:pt idx="259">
                  <c:v>21.916666666666668</c:v>
                </c:pt>
                <c:pt idx="260">
                  <c:v>22</c:v>
                </c:pt>
                <c:pt idx="261">
                  <c:v>22.083333333333332</c:v>
                </c:pt>
                <c:pt idx="262">
                  <c:v>22.166666666666668</c:v>
                </c:pt>
                <c:pt idx="263">
                  <c:v>22.25</c:v>
                </c:pt>
                <c:pt idx="264">
                  <c:v>22.333333333333332</c:v>
                </c:pt>
                <c:pt idx="265">
                  <c:v>22.416666666666668</c:v>
                </c:pt>
                <c:pt idx="266">
                  <c:v>22.5</c:v>
                </c:pt>
                <c:pt idx="267">
                  <c:v>22.583333333333332</c:v>
                </c:pt>
                <c:pt idx="268">
                  <c:v>22.666666666666668</c:v>
                </c:pt>
                <c:pt idx="269">
                  <c:v>22.75</c:v>
                </c:pt>
                <c:pt idx="270">
                  <c:v>22.833333333333332</c:v>
                </c:pt>
                <c:pt idx="271">
                  <c:v>22.916666666666668</c:v>
                </c:pt>
                <c:pt idx="272">
                  <c:v>23</c:v>
                </c:pt>
                <c:pt idx="273">
                  <c:v>23.083333333333332</c:v>
                </c:pt>
                <c:pt idx="274">
                  <c:v>23.166666666666668</c:v>
                </c:pt>
                <c:pt idx="275">
                  <c:v>23.25</c:v>
                </c:pt>
                <c:pt idx="276">
                  <c:v>23.333333333333332</c:v>
                </c:pt>
                <c:pt idx="277">
                  <c:v>23.416666666666668</c:v>
                </c:pt>
                <c:pt idx="278">
                  <c:v>23.5</c:v>
                </c:pt>
                <c:pt idx="279">
                  <c:v>23.583333333333332</c:v>
                </c:pt>
                <c:pt idx="280">
                  <c:v>23.666666666666668</c:v>
                </c:pt>
                <c:pt idx="281">
                  <c:v>23.75</c:v>
                </c:pt>
                <c:pt idx="282">
                  <c:v>23.833333333333332</c:v>
                </c:pt>
                <c:pt idx="283">
                  <c:v>23.916666666666668</c:v>
                </c:pt>
                <c:pt idx="284">
                  <c:v>24</c:v>
                </c:pt>
                <c:pt idx="285">
                  <c:v>24.083333333333332</c:v>
                </c:pt>
                <c:pt idx="286">
                  <c:v>24.166666666666668</c:v>
                </c:pt>
                <c:pt idx="287">
                  <c:v>24.25</c:v>
                </c:pt>
                <c:pt idx="288">
                  <c:v>24.333333333333332</c:v>
                </c:pt>
                <c:pt idx="289">
                  <c:v>24.416666666666668</c:v>
                </c:pt>
                <c:pt idx="290">
                  <c:v>24.5</c:v>
                </c:pt>
                <c:pt idx="291">
                  <c:v>24.583333333333332</c:v>
                </c:pt>
                <c:pt idx="292">
                  <c:v>24.666666666666668</c:v>
                </c:pt>
                <c:pt idx="293">
                  <c:v>24.75</c:v>
                </c:pt>
                <c:pt idx="294">
                  <c:v>24.833333333333332</c:v>
                </c:pt>
                <c:pt idx="295">
                  <c:v>24.916666666666668</c:v>
                </c:pt>
                <c:pt idx="296">
                  <c:v>25</c:v>
                </c:pt>
                <c:pt idx="297">
                  <c:v>25.083333333333332</c:v>
                </c:pt>
                <c:pt idx="298">
                  <c:v>25.166666666666668</c:v>
                </c:pt>
                <c:pt idx="299">
                  <c:v>25.25</c:v>
                </c:pt>
                <c:pt idx="300">
                  <c:v>25.333333333333332</c:v>
                </c:pt>
                <c:pt idx="301">
                  <c:v>25.416666666666668</c:v>
                </c:pt>
                <c:pt idx="302">
                  <c:v>25.5</c:v>
                </c:pt>
                <c:pt idx="303">
                  <c:v>25.583333333333332</c:v>
                </c:pt>
                <c:pt idx="304">
                  <c:v>25.666666666666668</c:v>
                </c:pt>
                <c:pt idx="305">
                  <c:v>25.75</c:v>
                </c:pt>
                <c:pt idx="306">
                  <c:v>25.833333333333332</c:v>
                </c:pt>
                <c:pt idx="307">
                  <c:v>25.916666666666668</c:v>
                </c:pt>
                <c:pt idx="308">
                  <c:v>26</c:v>
                </c:pt>
                <c:pt idx="309">
                  <c:v>26.083333333333332</c:v>
                </c:pt>
                <c:pt idx="310">
                  <c:v>26.166666666666668</c:v>
                </c:pt>
                <c:pt idx="311">
                  <c:v>26.25</c:v>
                </c:pt>
                <c:pt idx="312">
                  <c:v>26.333333333333332</c:v>
                </c:pt>
                <c:pt idx="313">
                  <c:v>26.416666666666668</c:v>
                </c:pt>
                <c:pt idx="314">
                  <c:v>26.5</c:v>
                </c:pt>
                <c:pt idx="315">
                  <c:v>26.583333333333332</c:v>
                </c:pt>
                <c:pt idx="316">
                  <c:v>26.666666666666668</c:v>
                </c:pt>
                <c:pt idx="317">
                  <c:v>26.75</c:v>
                </c:pt>
                <c:pt idx="318">
                  <c:v>26.833333333333332</c:v>
                </c:pt>
                <c:pt idx="319">
                  <c:v>26.916666666666668</c:v>
                </c:pt>
                <c:pt idx="320">
                  <c:v>27</c:v>
                </c:pt>
                <c:pt idx="321">
                  <c:v>27.083333333333332</c:v>
                </c:pt>
                <c:pt idx="322">
                  <c:v>27.166666666666668</c:v>
                </c:pt>
                <c:pt idx="323">
                  <c:v>27.25</c:v>
                </c:pt>
                <c:pt idx="324">
                  <c:v>27.333333333333332</c:v>
                </c:pt>
                <c:pt idx="325">
                  <c:v>27.416666666666668</c:v>
                </c:pt>
                <c:pt idx="326">
                  <c:v>27.5</c:v>
                </c:pt>
                <c:pt idx="327">
                  <c:v>27.583333333333332</c:v>
                </c:pt>
                <c:pt idx="328">
                  <c:v>27.666666666666668</c:v>
                </c:pt>
                <c:pt idx="329">
                  <c:v>27.75</c:v>
                </c:pt>
                <c:pt idx="330">
                  <c:v>27.833333333333332</c:v>
                </c:pt>
                <c:pt idx="331">
                  <c:v>27.916666666666668</c:v>
                </c:pt>
                <c:pt idx="332">
                  <c:v>28</c:v>
                </c:pt>
                <c:pt idx="333">
                  <c:v>28.083333333333332</c:v>
                </c:pt>
                <c:pt idx="334">
                  <c:v>28.166666666666668</c:v>
                </c:pt>
                <c:pt idx="335">
                  <c:v>28.25</c:v>
                </c:pt>
                <c:pt idx="336">
                  <c:v>28.333333333333332</c:v>
                </c:pt>
                <c:pt idx="337">
                  <c:v>28.416666666666668</c:v>
                </c:pt>
                <c:pt idx="338">
                  <c:v>28.5</c:v>
                </c:pt>
                <c:pt idx="339">
                  <c:v>28.583333333333332</c:v>
                </c:pt>
                <c:pt idx="340">
                  <c:v>28.666666666666668</c:v>
                </c:pt>
                <c:pt idx="341">
                  <c:v>28.75</c:v>
                </c:pt>
                <c:pt idx="342">
                  <c:v>28.833333333333332</c:v>
                </c:pt>
                <c:pt idx="343">
                  <c:v>28.916666666666668</c:v>
                </c:pt>
                <c:pt idx="344">
                  <c:v>29</c:v>
                </c:pt>
                <c:pt idx="345">
                  <c:v>29.083333333333332</c:v>
                </c:pt>
                <c:pt idx="346">
                  <c:v>29.166666666666668</c:v>
                </c:pt>
                <c:pt idx="347">
                  <c:v>29.25</c:v>
                </c:pt>
                <c:pt idx="348">
                  <c:v>29.333333333333332</c:v>
                </c:pt>
                <c:pt idx="349">
                  <c:v>29.416666666666668</c:v>
                </c:pt>
                <c:pt idx="350">
                  <c:v>29.5</c:v>
                </c:pt>
                <c:pt idx="351">
                  <c:v>29.583333333333332</c:v>
                </c:pt>
                <c:pt idx="352">
                  <c:v>29.666666666666668</c:v>
                </c:pt>
                <c:pt idx="353">
                  <c:v>29.75</c:v>
                </c:pt>
                <c:pt idx="354">
                  <c:v>29.833333333333332</c:v>
                </c:pt>
                <c:pt idx="355">
                  <c:v>29.916666666666668</c:v>
                </c:pt>
                <c:pt idx="356">
                  <c:v>30</c:v>
                </c:pt>
                <c:pt idx="357">
                  <c:v>30.083333333333332</c:v>
                </c:pt>
                <c:pt idx="358">
                  <c:v>30.166666666666668</c:v>
                </c:pt>
                <c:pt idx="359">
                  <c:v>30.25</c:v>
                </c:pt>
                <c:pt idx="360">
                  <c:v>30.333333333333332</c:v>
                </c:pt>
                <c:pt idx="361">
                  <c:v>30.416666666666668</c:v>
                </c:pt>
                <c:pt idx="362">
                  <c:v>30.5</c:v>
                </c:pt>
                <c:pt idx="363">
                  <c:v>30.583333333333332</c:v>
                </c:pt>
                <c:pt idx="364">
                  <c:v>30.666666666666668</c:v>
                </c:pt>
                <c:pt idx="365">
                  <c:v>30.75</c:v>
                </c:pt>
                <c:pt idx="366">
                  <c:v>30.833333333333332</c:v>
                </c:pt>
                <c:pt idx="367">
                  <c:v>30.916666666666668</c:v>
                </c:pt>
                <c:pt idx="368">
                  <c:v>31</c:v>
                </c:pt>
                <c:pt idx="369">
                  <c:v>31.083333333333332</c:v>
                </c:pt>
                <c:pt idx="370">
                  <c:v>31.166666666666668</c:v>
                </c:pt>
                <c:pt idx="371">
                  <c:v>31.25</c:v>
                </c:pt>
                <c:pt idx="372">
                  <c:v>31.333333333333332</c:v>
                </c:pt>
                <c:pt idx="373">
                  <c:v>31.416666666666668</c:v>
                </c:pt>
                <c:pt idx="374">
                  <c:v>31.5</c:v>
                </c:pt>
                <c:pt idx="375">
                  <c:v>31.583333333333332</c:v>
                </c:pt>
                <c:pt idx="376">
                  <c:v>31.666666666666668</c:v>
                </c:pt>
                <c:pt idx="377">
                  <c:v>31.75</c:v>
                </c:pt>
                <c:pt idx="378">
                  <c:v>31.833333333333332</c:v>
                </c:pt>
                <c:pt idx="379">
                  <c:v>31.916666666666668</c:v>
                </c:pt>
                <c:pt idx="380">
                  <c:v>32</c:v>
                </c:pt>
                <c:pt idx="381">
                  <c:v>32.083333333333336</c:v>
                </c:pt>
                <c:pt idx="382">
                  <c:v>32.166666666666664</c:v>
                </c:pt>
                <c:pt idx="383">
                  <c:v>32.25</c:v>
                </c:pt>
                <c:pt idx="384">
                  <c:v>32.333333333333336</c:v>
                </c:pt>
              </c:numCache>
            </c:numRef>
          </c:xVal>
          <c:yVal>
            <c:numRef>
              <c:f>Simulación!$W$40:$W$424</c:f>
              <c:numCache>
                <c:formatCode>0.0%</c:formatCode>
                <c:ptCount val="385"/>
                <c:pt idx="0">
                  <c:v>-0.60909234751976937</c:v>
                </c:pt>
                <c:pt idx="1">
                  <c:v>-0.45003996051320616</c:v>
                </c:pt>
                <c:pt idx="2">
                  <c:v>-0.34368910697893762</c:v>
                </c:pt>
                <c:pt idx="3">
                  <c:v>-0.26787220305987347</c:v>
                </c:pt>
                <c:pt idx="4">
                  <c:v>-0.21130829052570999</c:v>
                </c:pt>
                <c:pt idx="5">
                  <c:v>-0.16765242451693041</c:v>
                </c:pt>
                <c:pt idx="6">
                  <c:v>-0.13306316394525819</c:v>
                </c:pt>
                <c:pt idx="7">
                  <c:v>-0.10507935749895392</c:v>
                </c:pt>
                <c:pt idx="8">
                  <c:v>-8.2051776343404992E-2</c:v>
                </c:pt>
                <c:pt idx="9">
                  <c:v>-6.2834171791993132E-2</c:v>
                </c:pt>
                <c:pt idx="10">
                  <c:v>-4.6605386639614554E-2</c:v>
                </c:pt>
                <c:pt idx="11">
                  <c:v>-3.2761949582121197E-2</c:v>
                </c:pt>
                <c:pt idx="12">
                  <c:v>-2.0850593105248283E-2</c:v>
                </c:pt>
                <c:pt idx="13">
                  <c:v>-1.0524394018611272E-2</c:v>
                </c:pt>
                <c:pt idx="14">
                  <c:v>-1.5134226544670781E-3</c:v>
                </c:pt>
                <c:pt idx="15">
                  <c:v>6.3954047832668337E-3</c:v>
                </c:pt>
                <c:pt idx="16">
                  <c:v>1.3372469214258054E-2</c:v>
                </c:pt>
                <c:pt idx="17">
                  <c:v>1.9555575315426843E-2</c:v>
                </c:pt>
                <c:pt idx="18">
                  <c:v>2.5057331737361466E-2</c:v>
                </c:pt>
                <c:pt idx="19">
                  <c:v>2.9970615841018677E-2</c:v>
                </c:pt>
                <c:pt idx="20">
                  <c:v>3.4372678533507006E-2</c:v>
                </c:pt>
                <c:pt idx="21">
                  <c:v>3.8328267987481901E-2</c:v>
                </c:pt>
                <c:pt idx="22">
                  <c:v>4.1892035098690883E-2</c:v>
                </c:pt>
                <c:pt idx="23">
                  <c:v>4.5110405985531621E-2</c:v>
                </c:pt>
                <c:pt idx="24">
                  <c:v>4.8023054567465806E-2</c:v>
                </c:pt>
                <c:pt idx="25">
                  <c:v>5.0664070492856261E-2</c:v>
                </c:pt>
                <c:pt idx="26">
                  <c:v>5.3062894400278005E-2</c:v>
                </c:pt>
                <c:pt idx="27">
                  <c:v>5.5245072033342169E-2</c:v>
                </c:pt>
                <c:pt idx="28">
                  <c:v>5.7232867052539937E-2</c:v>
                </c:pt>
                <c:pt idx="29">
                  <c:v>5.904576238682413E-2</c:v>
                </c:pt>
                <c:pt idx="30">
                  <c:v>6.0700873022678792E-2</c:v>
                </c:pt>
                <c:pt idx="31">
                  <c:v>6.2213287911155213E-2</c:v>
                </c:pt>
                <c:pt idx="32">
                  <c:v>6.3596354756070284E-2</c:v>
                </c:pt>
                <c:pt idx="33">
                  <c:v>6.4861918478457348E-2</c:v>
                </c:pt>
                <c:pt idx="34">
                  <c:v>6.6020521885530314E-2</c:v>
                </c:pt>
                <c:pt idx="35">
                  <c:v>6.7081575326612963E-2</c:v>
                </c:pt>
                <c:pt idx="36">
                  <c:v>6.8053500764685637E-2</c:v>
                </c:pt>
                <c:pt idx="37">
                  <c:v>6.8943854634740731E-2</c:v>
                </c:pt>
                <c:pt idx="38">
                  <c:v>6.9759433028502293E-2</c:v>
                </c:pt>
                <c:pt idx="39">
                  <c:v>7.0506362087476404E-2</c:v>
                </c:pt>
                <c:pt idx="40">
                  <c:v>7.119017596246735E-2</c:v>
                </c:pt>
                <c:pt idx="41">
                  <c:v>7.1815884278882969E-2</c:v>
                </c:pt>
                <c:pt idx="42">
                  <c:v>7.2388030709787721E-2</c:v>
                </c:pt>
                <c:pt idx="43">
                  <c:v>7.2910743985994841E-2</c:v>
                </c:pt>
                <c:pt idx="44">
                  <c:v>7.3387782450890171E-2</c:v>
                </c:pt>
                <c:pt idx="45">
                  <c:v>7.382257308653184E-2</c:v>
                </c:pt>
                <c:pt idx="46">
                  <c:v>7.4218245789328563E-2</c:v>
                </c:pt>
                <c:pt idx="47">
                  <c:v>7.4577663551145257E-2</c:v>
                </c:pt>
                <c:pt idx="48">
                  <c:v>7.4903449100762742E-2</c:v>
                </c:pt>
                <c:pt idx="49">
                  <c:v>7.5198008476520251E-2</c:v>
                </c:pt>
                <c:pt idx="50">
                  <c:v>7.5463551931076012E-2</c:v>
                </c:pt>
                <c:pt idx="51">
                  <c:v>7.5702112510811936E-2</c:v>
                </c:pt>
                <c:pt idx="52">
                  <c:v>7.5915562603138476E-2</c:v>
                </c:pt>
                <c:pt idx="53">
                  <c:v>7.6105628703759365E-2</c:v>
                </c:pt>
                <c:pt idx="54">
                  <c:v>7.6273904621037225E-2</c:v>
                </c:pt>
                <c:pt idx="55">
                  <c:v>7.6421863304886095E-2</c:v>
                </c:pt>
                <c:pt idx="56">
                  <c:v>7.6550867462716887E-2</c:v>
                </c:pt>
                <c:pt idx="57">
                  <c:v>7.6662179103267114E-2</c:v>
                </c:pt>
                <c:pt idx="58">
                  <c:v>7.6756968131117986E-2</c:v>
                </c:pt>
                <c:pt idx="59">
                  <c:v>7.6836320098778721E-2</c:v>
                </c:pt>
                <c:pt idx="60">
                  <c:v>7.6901243209919201E-2</c:v>
                </c:pt>
                <c:pt idx="61">
                  <c:v>7.6952674655669462E-2</c:v>
                </c:pt>
                <c:pt idx="62">
                  <c:v>7.6991486355861838E-2</c:v>
                </c:pt>
                <c:pt idx="63">
                  <c:v>7.701849016851714E-2</c:v>
                </c:pt>
                <c:pt idx="64">
                  <c:v>7.703444262325565E-2</c:v>
                </c:pt>
                <c:pt idx="65">
                  <c:v>7.7040049227910856E-2</c:v>
                </c:pt>
                <c:pt idx="66">
                  <c:v>7.7035968391839127E-2</c:v>
                </c:pt>
                <c:pt idx="67">
                  <c:v>7.7022815004534451E-2</c:v>
                </c:pt>
                <c:pt idx="68">
                  <c:v>7.7001163703648956E-2</c:v>
                </c:pt>
                <c:pt idx="69">
                  <c:v>7.6971551863098675E-2</c:v>
                </c:pt>
                <c:pt idx="70">
                  <c:v>7.693448232818767E-2</c:v>
                </c:pt>
                <c:pt idx="71">
                  <c:v>7.6890425922024441E-2</c:v>
                </c:pt>
                <c:pt idx="72">
                  <c:v>7.6839823744722757E-2</c:v>
                </c:pt>
                <c:pt idx="73">
                  <c:v>7.6783089284848671E-2</c:v>
                </c:pt>
                <c:pt idx="74">
                  <c:v>7.6720610360310637E-2</c:v>
                </c:pt>
                <c:pt idx="75">
                  <c:v>7.6652750904274924E-2</c:v>
                </c:pt>
                <c:pt idx="76">
                  <c:v>7.6579852610081822E-2</c:v>
                </c:pt>
                <c:pt idx="77">
                  <c:v>7.6502236447645977E-2</c:v>
                </c:pt>
                <c:pt idx="78">
                  <c:v>7.6420204062729091E-2</c:v>
                </c:pt>
                <c:pt idx="79">
                  <c:v>7.6334039069210213E-2</c:v>
                </c:pt>
                <c:pt idx="80">
                  <c:v>7.6244008243612882E-2</c:v>
                </c:pt>
                <c:pt idx="81">
                  <c:v>7.615036263018915E-2</c:v>
                </c:pt>
                <c:pt idx="82">
                  <c:v>7.6053338564082473E-2</c:v>
                </c:pt>
                <c:pt idx="83">
                  <c:v>7.5953158619441297E-2</c:v>
                </c:pt>
                <c:pt idx="84">
                  <c:v>7.5850032488617103E-2</c:v>
                </c:pt>
                <c:pt idx="85">
                  <c:v>7.5744157798119716E-2</c:v>
                </c:pt>
                <c:pt idx="86">
                  <c:v>7.5635720866413791E-2</c:v>
                </c:pt>
                <c:pt idx="87">
                  <c:v>7.552489740823809E-2</c:v>
                </c:pt>
                <c:pt idx="88">
                  <c:v>7.5411853189628175E-2</c:v>
                </c:pt>
                <c:pt idx="89">
                  <c:v>7.529674463759406E-2</c:v>
                </c:pt>
                <c:pt idx="90">
                  <c:v>7.5179719407887369E-2</c:v>
                </c:pt>
                <c:pt idx="91">
                  <c:v>7.5060916914148734E-2</c:v>
                </c:pt>
                <c:pt idx="92">
                  <c:v>7.4940468821350414E-2</c:v>
                </c:pt>
                <c:pt idx="93">
                  <c:v>7.4818499506249303E-2</c:v>
                </c:pt>
                <c:pt idx="94">
                  <c:v>7.4695126487267061E-2</c:v>
                </c:pt>
                <c:pt idx="95">
                  <c:v>7.4570460813115247E-2</c:v>
                </c:pt>
                <c:pt idx="96">
                  <c:v>7.4444607489605907E-2</c:v>
                </c:pt>
                <c:pt idx="97">
                  <c:v>7.4317665754996654E-2</c:v>
                </c:pt>
                <c:pt idx="98">
                  <c:v>7.4189729458383979E-2</c:v>
                </c:pt>
                <c:pt idx="99">
                  <c:v>7.4060887355205551E-2</c:v>
                </c:pt>
                <c:pt idx="100">
                  <c:v>7.3931223395521606E-2</c:v>
                </c:pt>
                <c:pt idx="101">
                  <c:v>7.380081699428942E-2</c:v>
                </c:pt>
                <c:pt idx="102">
                  <c:v>7.366974328478193E-2</c:v>
                </c:pt>
                <c:pt idx="103">
                  <c:v>7.3538073356405498E-2</c:v>
                </c:pt>
                <c:pt idx="104">
                  <c:v>7.3405874477942668E-2</c:v>
                </c:pt>
                <c:pt idx="105">
                  <c:v>7.3273210307219117E-2</c:v>
                </c:pt>
                <c:pt idx="106">
                  <c:v>7.3140141088138044E-2</c:v>
                </c:pt>
                <c:pt idx="107">
                  <c:v>7.3006723835886689E-2</c:v>
                </c:pt>
                <c:pt idx="108">
                  <c:v>7.287301251113032E-2</c:v>
                </c:pt>
                <c:pt idx="109">
                  <c:v>7.2739058183931782E-2</c:v>
                </c:pt>
                <c:pt idx="110">
                  <c:v>7.2604909188038746E-2</c:v>
                </c:pt>
                <c:pt idx="111">
                  <c:v>7.2470611266175489E-2</c:v>
                </c:pt>
                <c:pt idx="112">
                  <c:v>7.2336207706930722E-2</c:v>
                </c:pt>
                <c:pt idx="113">
                  <c:v>7.2201739473787718E-2</c:v>
                </c:pt>
                <c:pt idx="114">
                  <c:v>7.2067245326765672E-2</c:v>
                </c:pt>
                <c:pt idx="115">
                  <c:v>7.1932761937151923E-2</c:v>
                </c:pt>
                <c:pt idx="116">
                  <c:v>7.1798323995783342E-2</c:v>
                </c:pt>
                <c:pt idx="117">
                  <c:v>7.1663964315249906E-2</c:v>
                </c:pt>
                <c:pt idx="118">
                  <c:v>7.1529713926388183E-2</c:v>
                </c:pt>
                <c:pt idx="119">
                  <c:v>7.139560216945906E-2</c:v>
                </c:pt>
                <c:pt idx="120">
                  <c:v>7.1261656780302829E-2</c:v>
                </c:pt>
                <c:pt idx="121">
                  <c:v>7.1127903971740736E-2</c:v>
                </c:pt>
                <c:pt idx="122">
                  <c:v>7.0994368510622685E-2</c:v>
                </c:pt>
                <c:pt idx="123">
                  <c:v>7.0861073790638329E-2</c:v>
                </c:pt>
                <c:pt idx="124">
                  <c:v>7.0728041901248595E-2</c:v>
                </c:pt>
                <c:pt idx="125">
                  <c:v>7.0595293692918837E-2</c:v>
                </c:pt>
                <c:pt idx="126">
                  <c:v>7.0462848838901415E-2</c:v>
                </c:pt>
                <c:pt idx="127">
                  <c:v>7.0330725893716917E-2</c:v>
                </c:pt>
                <c:pt idx="128">
                  <c:v>7.0198942348592475E-2</c:v>
                </c:pt>
                <c:pt idx="129">
                  <c:v>7.0067514683971766E-2</c:v>
                </c:pt>
                <c:pt idx="130">
                  <c:v>6.9936458419315173E-2</c:v>
                </c:pt>
                <c:pt idx="131">
                  <c:v>6.9805788160291371E-2</c:v>
                </c:pt>
                <c:pt idx="132">
                  <c:v>6.9675517643570828E-2</c:v>
                </c:pt>
                <c:pt idx="133">
                  <c:v>6.9545659779293167E-2</c:v>
                </c:pt>
                <c:pt idx="134">
                  <c:v>6.9416226691384253E-2</c:v>
                </c:pt>
                <c:pt idx="135">
                  <c:v>6.928722975581092E-2</c:v>
                </c:pt>
                <c:pt idx="136">
                  <c:v>6.9158679636914577E-2</c:v>
                </c:pt>
                <c:pt idx="137">
                  <c:v>6.9030586321919607E-2</c:v>
                </c:pt>
                <c:pt idx="138">
                  <c:v>6.8902959153685828E-2</c:v>
                </c:pt>
                <c:pt idx="139">
                  <c:v>6.8775806861875566E-2</c:v>
                </c:pt>
                <c:pt idx="140">
                  <c:v>6.8649137592514009E-2</c:v>
                </c:pt>
                <c:pt idx="141">
                  <c:v>6.8522958936137357E-2</c:v>
                </c:pt>
                <c:pt idx="142">
                  <c:v>6.8397277954542091E-2</c:v>
                </c:pt>
                <c:pt idx="143">
                  <c:v>6.8272101206199309E-2</c:v>
                </c:pt>
                <c:pt idx="144">
                  <c:v>6.8147434770462034E-2</c:v>
                </c:pt>
                <c:pt idx="145">
                  <c:v>6.8023284270570805E-2</c:v>
                </c:pt>
                <c:pt idx="146">
                  <c:v>6.7899654895564154E-2</c:v>
                </c:pt>
                <c:pt idx="147">
                  <c:v>6.7776551421115272E-2</c:v>
                </c:pt>
                <c:pt idx="148">
                  <c:v>6.7653978229377465E-2</c:v>
                </c:pt>
                <c:pt idx="149">
                  <c:v>6.7531939327881041E-2</c:v>
                </c:pt>
                <c:pt idx="150">
                  <c:v>6.7410438367500269E-2</c:v>
                </c:pt>
                <c:pt idx="151">
                  <c:v>6.7289478659628976E-2</c:v>
                </c:pt>
                <c:pt idx="152">
                  <c:v>6.7169063192471512E-2</c:v>
                </c:pt>
                <c:pt idx="153">
                  <c:v>6.7049194646598309E-2</c:v>
                </c:pt>
                <c:pt idx="154">
                  <c:v>6.6929875409790007E-2</c:v>
                </c:pt>
                <c:pt idx="155">
                  <c:v>6.6811107591132846E-2</c:v>
                </c:pt>
                <c:pt idx="156">
                  <c:v>6.669289303450654E-2</c:v>
                </c:pt>
                <c:pt idx="157">
                  <c:v>6.6575233331416683E-2</c:v>
                </c:pt>
                <c:pt idx="158">
                  <c:v>6.6458129833219637E-2</c:v>
                </c:pt>
                <c:pt idx="159">
                  <c:v>6.6341583662811843E-2</c:v>
                </c:pt>
                <c:pt idx="160">
                  <c:v>6.6225595725764919E-2</c:v>
                </c:pt>
                <c:pt idx="161">
                  <c:v>6.611016672094383E-2</c:v>
                </c:pt>
                <c:pt idx="162">
                  <c:v>6.5995297150626797E-2</c:v>
                </c:pt>
                <c:pt idx="163">
                  <c:v>6.5880987330196206E-2</c:v>
                </c:pt>
                <c:pt idx="164">
                  <c:v>6.5767237397341916E-2</c:v>
                </c:pt>
                <c:pt idx="165">
                  <c:v>6.5654047320878206E-2</c:v>
                </c:pt>
                <c:pt idx="166">
                  <c:v>6.5541416909158379E-2</c:v>
                </c:pt>
                <c:pt idx="167">
                  <c:v>6.5429345818073692E-2</c:v>
                </c:pt>
                <c:pt idx="168">
                  <c:v>6.5317833558729887E-2</c:v>
                </c:pt>
                <c:pt idx="169">
                  <c:v>6.5206879504758675E-2</c:v>
                </c:pt>
                <c:pt idx="170">
                  <c:v>6.5096482899288155E-2</c:v>
                </c:pt>
                <c:pt idx="171">
                  <c:v>6.4986642861628141E-2</c:v>
                </c:pt>
                <c:pt idx="172">
                  <c:v>6.4877358393633067E-2</c:v>
                </c:pt>
                <c:pt idx="173">
                  <c:v>6.4768628385771798E-2</c:v>
                </c:pt>
                <c:pt idx="174">
                  <c:v>6.4660451622957638E-2</c:v>
                </c:pt>
                <c:pt idx="175">
                  <c:v>6.4552826790079898E-2</c:v>
                </c:pt>
                <c:pt idx="176">
                  <c:v>6.444575247732498E-2</c:v>
                </c:pt>
                <c:pt idx="177">
                  <c:v>6.4339227185220338E-2</c:v>
                </c:pt>
                <c:pt idx="178">
                  <c:v>6.4233249329494591E-2</c:v>
                </c:pt>
                <c:pt idx="179">
                  <c:v>6.4127817245689833E-2</c:v>
                </c:pt>
                <c:pt idx="180">
                  <c:v>6.4022929193574107E-2</c:v>
                </c:pt>
                <c:pt idx="181">
                  <c:v>6.3918583361383341E-2</c:v>
                </c:pt>
                <c:pt idx="182">
                  <c:v>6.3814777869828809E-2</c:v>
                </c:pt>
                <c:pt idx="183">
                  <c:v>6.3711510775984692E-2</c:v>
                </c:pt>
                <c:pt idx="184">
                  <c:v>6.3608780076941152E-2</c:v>
                </c:pt>
                <c:pt idx="185">
                  <c:v>6.3506583713348164E-2</c:v>
                </c:pt>
                <c:pt idx="186">
                  <c:v>6.3404919572767504E-2</c:v>
                </c:pt>
                <c:pt idx="187">
                  <c:v>6.3303785492894171E-2</c:v>
                </c:pt>
                <c:pt idx="188">
                  <c:v>6.3203179264628595E-2</c:v>
                </c:pt>
                <c:pt idx="189">
                  <c:v>6.3103098635010291E-2</c:v>
                </c:pt>
                <c:pt idx="190">
                  <c:v>6.3003541310034272E-2</c:v>
                </c:pt>
                <c:pt idx="191">
                  <c:v>6.2904504957323581E-2</c:v>
                </c:pt>
                <c:pt idx="192">
                  <c:v>6.2805987208692571E-2</c:v>
                </c:pt>
                <c:pt idx="193">
                  <c:v>6.2707985662608934E-2</c:v>
                </c:pt>
                <c:pt idx="194">
                  <c:v>6.261049788651718E-2</c:v>
                </c:pt>
                <c:pt idx="195">
                  <c:v>6.2513521419098161E-2</c:v>
                </c:pt>
                <c:pt idx="196">
                  <c:v>6.2417053772376718E-2</c:v>
                </c:pt>
                <c:pt idx="197">
                  <c:v>6.232109243378936E-2</c:v>
                </c:pt>
                <c:pt idx="198">
                  <c:v>6.2225634868126711E-2</c:v>
                </c:pt>
                <c:pt idx="199">
                  <c:v>6.2130678519388027E-2</c:v>
                </c:pt>
                <c:pt idx="200">
                  <c:v>6.2036220812582421E-2</c:v>
                </c:pt>
                <c:pt idx="201">
                  <c:v>6.1942259155402191E-2</c:v>
                </c:pt>
                <c:pt idx="202">
                  <c:v>6.1848790939874831E-2</c:v>
                </c:pt>
                <c:pt idx="203">
                  <c:v>6.1755813543892479E-2</c:v>
                </c:pt>
                <c:pt idx="204">
                  <c:v>6.166332433270405E-2</c:v>
                </c:pt>
                <c:pt idx="205">
                  <c:v>6.1571320660327444E-2</c:v>
                </c:pt>
                <c:pt idx="206">
                  <c:v>6.1479799870900464E-2</c:v>
                </c:pt>
                <c:pt idx="207">
                  <c:v>6.1388759299959794E-2</c:v>
                </c:pt>
                <c:pt idx="208">
                  <c:v>6.1298196275687999E-2</c:v>
                </c:pt>
                <c:pt idx="209">
                  <c:v>6.1208108120067273E-2</c:v>
                </c:pt>
                <c:pt idx="210">
                  <c:v>6.1118492150009196E-2</c:v>
                </c:pt>
                <c:pt idx="211">
                  <c:v>6.1029345678428548E-2</c:v>
                </c:pt>
                <c:pt idx="212">
                  <c:v>6.0940666015245171E-2</c:v>
                </c:pt>
                <c:pt idx="213">
                  <c:v>6.0852450468367181E-2</c:v>
                </c:pt>
                <c:pt idx="214">
                  <c:v>6.0764696344612901E-2</c:v>
                </c:pt>
                <c:pt idx="215">
                  <c:v>6.0677400950590155E-2</c:v>
                </c:pt>
                <c:pt idx="216">
                  <c:v>6.0590561593538261E-2</c:v>
                </c:pt>
                <c:pt idx="217">
                  <c:v>6.0504175582132724E-2</c:v>
                </c:pt>
                <c:pt idx="218">
                  <c:v>6.0418240227231301E-2</c:v>
                </c:pt>
                <c:pt idx="219">
                  <c:v>6.0332752842622739E-2</c:v>
                </c:pt>
                <c:pt idx="220">
                  <c:v>6.0247710745692906E-2</c:v>
                </c:pt>
                <c:pt idx="221">
                  <c:v>6.0163111258101587E-2</c:v>
                </c:pt>
                <c:pt idx="222">
                  <c:v>6.0078951706389994E-2</c:v>
                </c:pt>
                <c:pt idx="223">
                  <c:v>5.9995229422585616E-2</c:v>
                </c:pt>
                <c:pt idx="224">
                  <c:v>5.9911941744759112E-2</c:v>
                </c:pt>
                <c:pt idx="225">
                  <c:v>5.9829086017565203E-2</c:v>
                </c:pt>
                <c:pt idx="226">
                  <c:v>5.9746659592740947E-2</c:v>
                </c:pt>
                <c:pt idx="227">
                  <c:v>5.9664659829604005E-2</c:v>
                </c:pt>
                <c:pt idx="228">
                  <c:v>5.958308409548696E-2</c:v>
                </c:pt>
                <c:pt idx="229">
                  <c:v>5.9501929766190287E-2</c:v>
                </c:pt>
                <c:pt idx="230">
                  <c:v>5.9421194226387364E-2</c:v>
                </c:pt>
                <c:pt idx="231">
                  <c:v>5.9340874870002835E-2</c:v>
                </c:pt>
                <c:pt idx="232">
                  <c:v>5.9260969100593641E-2</c:v>
                </c:pt>
                <c:pt idx="233">
                  <c:v>5.9181474331684747E-2</c:v>
                </c:pt>
                <c:pt idx="234">
                  <c:v>5.9102387987099547E-2</c:v>
                </c:pt>
                <c:pt idx="235">
                  <c:v>5.9023707501274281E-2</c:v>
                </c:pt>
                <c:pt idx="236">
                  <c:v>5.8945430319540471E-2</c:v>
                </c:pt>
                <c:pt idx="237">
                  <c:v>5.886755389841003E-2</c:v>
                </c:pt>
                <c:pt idx="238">
                  <c:v>5.8790075705817735E-2</c:v>
                </c:pt>
                <c:pt idx="239">
                  <c:v>5.8712993221377019E-2</c:v>
                </c:pt>
                <c:pt idx="240">
                  <c:v>5.8636303936609124E-2</c:v>
                </c:pt>
                <c:pt idx="241">
                  <c:v>5.8560005355126954E-2</c:v>
                </c:pt>
                <c:pt idx="242">
                  <c:v>5.8484094992880209E-2</c:v>
                </c:pt>
                <c:pt idx="243">
                  <c:v>5.8408570378304603E-2</c:v>
                </c:pt>
                <c:pt idx="244">
                  <c:v>5.8333429052513708E-2</c:v>
                </c:pt>
                <c:pt idx="245">
                  <c:v>5.8258668569445504E-2</c:v>
                </c:pt>
                <c:pt idx="246">
                  <c:v>5.8184286496030246E-2</c:v>
                </c:pt>
                <c:pt idx="247">
                  <c:v>5.8110280412315696E-2</c:v>
                </c:pt>
                <c:pt idx="248">
                  <c:v>5.8036647911595018E-2</c:v>
                </c:pt>
                <c:pt idx="249">
                  <c:v>5.7963386600532019E-2</c:v>
                </c:pt>
                <c:pt idx="250">
                  <c:v>5.7890494099275713E-2</c:v>
                </c:pt>
                <c:pt idx="251">
                  <c:v>5.7817968041524281E-2</c:v>
                </c:pt>
                <c:pt idx="252">
                  <c:v>5.7745806074663619E-2</c:v>
                </c:pt>
                <c:pt idx="253">
                  <c:v>5.7674005859815303E-2</c:v>
                </c:pt>
                <c:pt idx="254">
                  <c:v>5.7602565071913858E-2</c:v>
                </c:pt>
                <c:pt idx="255">
                  <c:v>5.7531481399792028E-2</c:v>
                </c:pt>
                <c:pt idx="256">
                  <c:v>5.7460752546207416E-2</c:v>
                </c:pt>
                <c:pt idx="257">
                  <c:v>5.7390376227925088E-2</c:v>
                </c:pt>
                <c:pt idx="258">
                  <c:v>5.7320350175733559E-2</c:v>
                </c:pt>
                <c:pt idx="259">
                  <c:v>5.7250672134506075E-2</c:v>
                </c:pt>
                <c:pt idx="260">
                  <c:v>5.7181339863211278E-2</c:v>
                </c:pt>
                <c:pt idx="261">
                  <c:v>5.711235113495583E-2</c:v>
                </c:pt>
                <c:pt idx="262">
                  <c:v>5.7043703736992413E-2</c:v>
                </c:pt>
                <c:pt idx="263">
                  <c:v>5.6975395470741041E-2</c:v>
                </c:pt>
                <c:pt idx="264">
                  <c:v>5.6907424151786401E-2</c:v>
                </c:pt>
                <c:pt idx="265">
                  <c:v>5.6839787609901826E-2</c:v>
                </c:pt>
                <c:pt idx="266">
                  <c:v>5.6772483689027986E-2</c:v>
                </c:pt>
                <c:pt idx="267">
                  <c:v>5.6705510247278212E-2</c:v>
                </c:pt>
                <c:pt idx="268">
                  <c:v>5.6638865156925178E-2</c:v>
                </c:pt>
                <c:pt idx="269">
                  <c:v>5.657254630439823E-2</c:v>
                </c:pt>
                <c:pt idx="270">
                  <c:v>5.650655159024609E-2</c:v>
                </c:pt>
                <c:pt idx="271">
                  <c:v>5.6440878929128857E-2</c:v>
                </c:pt>
                <c:pt idx="272">
                  <c:v>5.6375526249791363E-2</c:v>
                </c:pt>
                <c:pt idx="273">
                  <c:v>5.6310491495033865E-2</c:v>
                </c:pt>
                <c:pt idx="274">
                  <c:v>5.6245772621682733E-2</c:v>
                </c:pt>
                <c:pt idx="275">
                  <c:v>5.618136760055048E-2</c:v>
                </c:pt>
                <c:pt idx="276">
                  <c:v>5.6117274416395801E-2</c:v>
                </c:pt>
                <c:pt idx="277">
                  <c:v>5.605349106790225E-2</c:v>
                </c:pt>
                <c:pt idx="278">
                  <c:v>5.5990015567608964E-2</c:v>
                </c:pt>
                <c:pt idx="279">
                  <c:v>5.5926845941892012E-2</c:v>
                </c:pt>
                <c:pt idx="280">
                  <c:v>5.5863980230887123E-2</c:v>
                </c:pt>
                <c:pt idx="281">
                  <c:v>5.5801416488468369E-2</c:v>
                </c:pt>
                <c:pt idx="282">
                  <c:v>5.5739152782181556E-2</c:v>
                </c:pt>
                <c:pt idx="283">
                  <c:v>5.5677187193185596E-2</c:v>
                </c:pt>
                <c:pt idx="284">
                  <c:v>5.5615517816207216E-2</c:v>
                </c:pt>
                <c:pt idx="285">
                  <c:v>5.555414275947701E-2</c:v>
                </c:pt>
                <c:pt idx="286">
                  <c:v>5.5493060144676143E-2</c:v>
                </c:pt>
                <c:pt idx="287">
                  <c:v>5.5432268106867078E-2</c:v>
                </c:pt>
                <c:pt idx="288">
                  <c:v>5.5371764794434952E-2</c:v>
                </c:pt>
                <c:pt idx="289">
                  <c:v>5.5311548369026298E-2</c:v>
                </c:pt>
                <c:pt idx="290">
                  <c:v>5.5251617005474429E-2</c:v>
                </c:pt>
                <c:pt idx="291">
                  <c:v>5.5191968891743493E-2</c:v>
                </c:pt>
                <c:pt idx="292">
                  <c:v>5.5132602228859184E-2</c:v>
                </c:pt>
                <c:pt idx="293">
                  <c:v>5.5073515230834147E-2</c:v>
                </c:pt>
                <c:pt idx="294">
                  <c:v>5.5014706124598689E-2</c:v>
                </c:pt>
                <c:pt idx="295">
                  <c:v>5.4956173149931509E-2</c:v>
                </c:pt>
                <c:pt idx="296">
                  <c:v>5.489791455939308E-2</c:v>
                </c:pt>
                <c:pt idx="297">
                  <c:v>5.4839928618251044E-2</c:v>
                </c:pt>
                <c:pt idx="298">
                  <c:v>5.4782213604394947E-2</c:v>
                </c:pt>
                <c:pt idx="299">
                  <c:v>5.4724767808282948E-2</c:v>
                </c:pt>
                <c:pt idx="300">
                  <c:v>5.466758953284323E-2</c:v>
                </c:pt>
                <c:pt idx="301">
                  <c:v>5.4610677093423377E-2</c:v>
                </c:pt>
                <c:pt idx="302">
                  <c:v>5.4554028817694444E-2</c:v>
                </c:pt>
                <c:pt idx="303">
                  <c:v>5.4497643045587019E-2</c:v>
                </c:pt>
                <c:pt idx="304">
                  <c:v>5.444151812920861E-2</c:v>
                </c:pt>
                <c:pt idx="305">
                  <c:v>5.4385652432769049E-2</c:v>
                </c:pt>
                <c:pt idx="306">
                  <c:v>5.4330044332497884E-2</c:v>
                </c:pt>
                <c:pt idx="307">
                  <c:v>5.4274692216577769E-2</c:v>
                </c:pt>
                <c:pt idx="308">
                  <c:v>5.4219594485048539E-2</c:v>
                </c:pt>
                <c:pt idx="309">
                  <c:v>5.4164749549748592E-2</c:v>
                </c:pt>
                <c:pt idx="310">
                  <c:v>5.4110155834226958E-2</c:v>
                </c:pt>
                <c:pt idx="311">
                  <c:v>5.4055811773658036E-2</c:v>
                </c:pt>
                <c:pt idx="312">
                  <c:v>5.4001715814774975E-2</c:v>
                </c:pt>
                <c:pt idx="313">
                  <c:v>5.3947866415781753E-2</c:v>
                </c:pt>
                <c:pt idx="314">
                  <c:v>5.3894262046281227E-2</c:v>
                </c:pt>
                <c:pt idx="315">
                  <c:v>5.3840901187187207E-2</c:v>
                </c:pt>
                <c:pt idx="316">
                  <c:v>5.3787782330655176E-2</c:v>
                </c:pt>
                <c:pt idx="317">
                  <c:v>5.3734903979991699E-2</c:v>
                </c:pt>
                <c:pt idx="318">
                  <c:v>5.3682264649595801E-2</c:v>
                </c:pt>
                <c:pt idx="319">
                  <c:v>5.362986286484972E-2</c:v>
                </c:pt>
                <c:pt idx="320">
                  <c:v>5.3577697162062954E-2</c:v>
                </c:pt>
                <c:pt idx="321">
                  <c:v>5.3525766088392324E-2</c:v>
                </c:pt>
                <c:pt idx="322">
                  <c:v>5.3474068201751379E-2</c:v>
                </c:pt>
                <c:pt idx="323">
                  <c:v>5.3422602070741121E-2</c:v>
                </c:pt>
                <c:pt idx="324">
                  <c:v>5.3371366274570065E-2</c:v>
                </c:pt>
                <c:pt idx="325">
                  <c:v>5.3320359402966311E-2</c:v>
                </c:pt>
                <c:pt idx="326">
                  <c:v>5.3269580056124255E-2</c:v>
                </c:pt>
                <c:pt idx="327">
                  <c:v>5.3219026844603334E-2</c:v>
                </c:pt>
                <c:pt idx="328">
                  <c:v>5.3168698389250757E-2</c:v>
                </c:pt>
                <c:pt idx="329">
                  <c:v>5.3118593321140217E-2</c:v>
                </c:pt>
                <c:pt idx="330">
                  <c:v>5.3068710281483966E-2</c:v>
                </c:pt>
                <c:pt idx="331">
                  <c:v>5.3019047921558204E-2</c:v>
                </c:pt>
                <c:pt idx="332">
                  <c:v>5.2969604902628475E-2</c:v>
                </c:pt>
                <c:pt idx="333">
                  <c:v>5.2920379895869729E-2</c:v>
                </c:pt>
                <c:pt idx="334">
                  <c:v>5.2871371582289051E-2</c:v>
                </c:pt>
                <c:pt idx="335">
                  <c:v>5.282257865266704E-2</c:v>
                </c:pt>
                <c:pt idx="336">
                  <c:v>5.2773999807453897E-2</c:v>
                </c:pt>
                <c:pt idx="337">
                  <c:v>5.2725633756721457E-2</c:v>
                </c:pt>
                <c:pt idx="338">
                  <c:v>5.2677479220075263E-2</c:v>
                </c:pt>
                <c:pt idx="339">
                  <c:v>5.2629534926577293E-2</c:v>
                </c:pt>
                <c:pt idx="340">
                  <c:v>5.2581799614679348E-2</c:v>
                </c:pt>
                <c:pt idx="341">
                  <c:v>5.2534272032156437E-2</c:v>
                </c:pt>
                <c:pt idx="342">
                  <c:v>5.2486950936016186E-2</c:v>
                </c:pt>
                <c:pt idx="343">
                  <c:v>5.2439835092440212E-2</c:v>
                </c:pt>
                <c:pt idx="344">
                  <c:v>5.2392923276712189E-2</c:v>
                </c:pt>
                <c:pt idx="345">
                  <c:v>5.2346214273127245E-2</c:v>
                </c:pt>
                <c:pt idx="346">
                  <c:v>5.2299706874952001E-2</c:v>
                </c:pt>
                <c:pt idx="347">
                  <c:v>5.2253399884325979E-2</c:v>
                </c:pt>
                <c:pt idx="348">
                  <c:v>5.2207292112200321E-2</c:v>
                </c:pt>
                <c:pt idx="349">
                  <c:v>5.21613823782765E-2</c:v>
                </c:pt>
                <c:pt idx="350">
                  <c:v>5.2115669510929052E-2</c:v>
                </c:pt>
                <c:pt idx="351">
                  <c:v>5.2070152347133636E-2</c:v>
                </c:pt>
                <c:pt idx="352">
                  <c:v>5.2024829732395084E-2</c:v>
                </c:pt>
                <c:pt idx="353">
                  <c:v>5.197970052070211E-2</c:v>
                </c:pt>
                <c:pt idx="354">
                  <c:v>5.1934763574426057E-2</c:v>
                </c:pt>
                <c:pt idx="355">
                  <c:v>5.1890017764280927E-2</c:v>
                </c:pt>
                <c:pt idx="356">
                  <c:v>5.1845461969243445E-2</c:v>
                </c:pt>
                <c:pt idx="357">
                  <c:v>5.1801095076486448E-2</c:v>
                </c:pt>
                <c:pt idx="358">
                  <c:v>5.1756999597780684E-2</c:v>
                </c:pt>
                <c:pt idx="359">
                  <c:v>5.1713172430639887E-2</c:v>
                </c:pt>
                <c:pt idx="360">
                  <c:v>5.1669610522103504E-2</c:v>
                </c:pt>
                <c:pt idx="361">
                  <c:v>5.1626310867785463E-2</c:v>
                </c:pt>
                <c:pt idx="362">
                  <c:v>5.1583270510901613E-2</c:v>
                </c:pt>
                <c:pt idx="363">
                  <c:v>5.1540486541334474E-2</c:v>
                </c:pt>
                <c:pt idx="364">
                  <c:v>5.1497956094705977E-2</c:v>
                </c:pt>
                <c:pt idx="365">
                  <c:v>5.1455676351500834E-2</c:v>
                </c:pt>
                <c:pt idx="366">
                  <c:v>5.1413644536171255E-2</c:v>
                </c:pt>
                <c:pt idx="367">
                  <c:v>5.1371857916292285E-2</c:v>
                </c:pt>
                <c:pt idx="368">
                  <c:v>5.1330313801727812E-2</c:v>
                </c:pt>
                <c:pt idx="369">
                  <c:v>5.1289009543817876E-2</c:v>
                </c:pt>
                <c:pt idx="370">
                  <c:v>5.1247942534571322E-2</c:v>
                </c:pt>
                <c:pt idx="371">
                  <c:v>5.1207110205885087E-2</c:v>
                </c:pt>
                <c:pt idx="372">
                  <c:v>5.1166510028806123E-2</c:v>
                </c:pt>
                <c:pt idx="373">
                  <c:v>5.1126139512756019E-2</c:v>
                </c:pt>
                <c:pt idx="374">
                  <c:v>5.1085996204822237E-2</c:v>
                </c:pt>
                <c:pt idx="375">
                  <c:v>5.1046077689044012E-2</c:v>
                </c:pt>
                <c:pt idx="376">
                  <c:v>5.1006381585706251E-2</c:v>
                </c:pt>
                <c:pt idx="377">
                  <c:v>5.0966905550684061E-2</c:v>
                </c:pt>
                <c:pt idx="378">
                  <c:v>5.0927647274749965E-2</c:v>
                </c:pt>
                <c:pt idx="379">
                  <c:v>5.0888604482937083E-2</c:v>
                </c:pt>
                <c:pt idx="380">
                  <c:v>5.0849774933904968E-2</c:v>
                </c:pt>
                <c:pt idx="381">
                  <c:v>5.081115641931877E-2</c:v>
                </c:pt>
                <c:pt idx="382">
                  <c:v>5.0772746763228405E-2</c:v>
                </c:pt>
                <c:pt idx="383">
                  <c:v>5.0734543821498335E-2</c:v>
                </c:pt>
                <c:pt idx="384">
                  <c:v>5.0696545481194732E-2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FA-4F7F-9AFF-461C557B1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874863"/>
        <c:axId val="1616875823"/>
      </c:scatterChart>
      <c:valAx>
        <c:axId val="161687486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616875823"/>
        <c:crosses val="autoZero"/>
        <c:crossBetween val="midCat"/>
      </c:valAx>
      <c:valAx>
        <c:axId val="1616875823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61687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309562</xdr:colOff>
      <xdr:row>1</xdr:row>
      <xdr:rowOff>59529</xdr:rowOff>
    </xdr:from>
    <xdr:to>
      <xdr:col>23</xdr:col>
      <xdr:colOff>660399</xdr:colOff>
      <xdr:row>20</xdr:row>
      <xdr:rowOff>141286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AF19B23-8961-4CFD-C2FE-D16674960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285750</xdr:colOff>
      <xdr:row>1</xdr:row>
      <xdr:rowOff>66675</xdr:rowOff>
    </xdr:from>
    <xdr:to>
      <xdr:col>32</xdr:col>
      <xdr:colOff>57149</xdr:colOff>
      <xdr:row>20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19CEDBE-45A4-0B81-7DA3-B516F5A9F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623887</xdr:colOff>
      <xdr:row>1</xdr:row>
      <xdr:rowOff>109536</xdr:rowOff>
    </xdr:from>
    <xdr:to>
      <xdr:col>40</xdr:col>
      <xdr:colOff>695325</xdr:colOff>
      <xdr:row>20</xdr:row>
      <xdr:rowOff>171450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B4F6E59-46AA-71E5-CED8-7F385DD91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25</xdr:row>
      <xdr:rowOff>19050</xdr:rowOff>
    </xdr:from>
    <xdr:to>
      <xdr:col>17</xdr:col>
      <xdr:colOff>458658</xdr:colOff>
      <xdr:row>53</xdr:row>
      <xdr:rowOff>143637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B6781-9F56-984F-A507-0EDFEEF9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781550"/>
          <a:ext cx="10450383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142875</xdr:rowOff>
    </xdr:from>
    <xdr:to>
      <xdr:col>17</xdr:col>
      <xdr:colOff>515778</xdr:colOff>
      <xdr:row>20</xdr:row>
      <xdr:rowOff>162353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C44BC-CF6F-5529-099D-CFA914011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904875"/>
          <a:ext cx="10231278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A7C-CBC7-46DF-B701-48252FA6C809}">
  <dimension ref="A2:Y428"/>
  <sheetViews>
    <sheetView showGridLines="0" tabSelected="1" topLeftCell="E11" zoomScaleNormal="100" workbookViewId="0">
      <selection activeCell="K28" sqref="K28"/>
    </sheetView>
  </sheetViews>
  <sheetFormatPr defaultColWidth="11.42578125" defaultRowHeight="15" x14ac:dyDescent="0.25"/>
  <cols>
    <col min="1" max="1" width="9.85546875" bestFit="1" customWidth="1"/>
    <col min="2" max="2" width="8.140625" style="33" customWidth="1"/>
    <col min="3" max="3" width="9.5703125" style="33" customWidth="1"/>
    <col min="4" max="4" width="16" customWidth="1"/>
    <col min="5" max="5" width="13.28515625" customWidth="1"/>
    <col min="6" max="6" width="13.42578125" customWidth="1"/>
    <col min="7" max="7" width="13.85546875" customWidth="1"/>
    <col min="8" max="8" width="16.5703125" customWidth="1"/>
    <col min="9" max="9" width="15.7109375" customWidth="1"/>
    <col min="10" max="10" width="14.5703125" customWidth="1"/>
    <col min="11" max="11" width="15.42578125" bestFit="1" customWidth="1"/>
    <col min="12" max="12" width="15.7109375" customWidth="1"/>
    <col min="13" max="13" width="14" customWidth="1"/>
    <col min="14" max="14" width="14.42578125" customWidth="1"/>
    <col min="15" max="15" width="13.140625" customWidth="1"/>
    <col min="16" max="16" width="14.5703125" bestFit="1" customWidth="1"/>
    <col min="17" max="17" width="14.7109375" customWidth="1"/>
    <col min="18" max="18" width="14.85546875" customWidth="1"/>
    <col min="19" max="19" width="12.85546875" customWidth="1"/>
    <col min="20" max="21" width="14" customWidth="1"/>
    <col min="23" max="23" width="14.85546875" bestFit="1" customWidth="1"/>
  </cols>
  <sheetData>
    <row r="2" spans="2:18" x14ac:dyDescent="0.25">
      <c r="B2" s="66" t="s">
        <v>9</v>
      </c>
      <c r="C2" s="96"/>
      <c r="D2" s="67"/>
      <c r="E2" s="97">
        <v>37865.019999999997</v>
      </c>
      <c r="H2" s="132" t="s">
        <v>85</v>
      </c>
      <c r="I2" s="133"/>
      <c r="J2" s="130" t="s">
        <v>84</v>
      </c>
      <c r="K2" s="131"/>
      <c r="L2" s="109">
        <f>IF(J2="Arrendatario",1,IF(J2="Comprador",2,3))</f>
        <v>3</v>
      </c>
      <c r="M2" s="85" t="s">
        <v>69</v>
      </c>
      <c r="N2" s="86"/>
      <c r="O2" s="129">
        <v>24</v>
      </c>
      <c r="P2" s="108" t="str">
        <f>ROUND(O2/12,1)&amp;" Años"</f>
        <v>2 Años</v>
      </c>
      <c r="Q2" s="109"/>
    </row>
    <row r="3" spans="2:18" x14ac:dyDescent="0.25">
      <c r="B3" s="68" t="s">
        <v>74</v>
      </c>
      <c r="C3" s="82"/>
      <c r="D3" s="69"/>
      <c r="E3" s="98">
        <v>0.08</v>
      </c>
      <c r="L3" s="109"/>
    </row>
    <row r="4" spans="2:18" x14ac:dyDescent="0.25">
      <c r="B4" s="70" t="s">
        <v>56</v>
      </c>
      <c r="C4" s="99"/>
      <c r="D4" s="71"/>
      <c r="E4" s="100">
        <v>3.3000000000000002E-2</v>
      </c>
      <c r="L4" s="109"/>
    </row>
    <row r="5" spans="2:18" x14ac:dyDescent="0.25">
      <c r="L5" s="109"/>
      <c r="M5" s="110" t="s">
        <v>81</v>
      </c>
      <c r="O5" s="111" t="s">
        <v>3</v>
      </c>
      <c r="P5" s="112" t="s">
        <v>4</v>
      </c>
      <c r="Q5" s="16"/>
      <c r="R5" s="16"/>
    </row>
    <row r="6" spans="2:18" x14ac:dyDescent="0.25">
      <c r="E6" s="28" t="s">
        <v>3</v>
      </c>
      <c r="F6" s="29" t="s">
        <v>4</v>
      </c>
      <c r="J6" s="28" t="s">
        <v>3</v>
      </c>
      <c r="K6" s="29" t="s">
        <v>4</v>
      </c>
      <c r="L6" s="109"/>
      <c r="M6" s="10" t="s">
        <v>20</v>
      </c>
      <c r="N6" s="56"/>
      <c r="O6" s="113" cm="1">
        <f t="array" ref="O6">IF(L2&lt;&gt;1,INDEX($L$36:$L$424,$O$2+1)-valor_compra,0)</f>
        <v>274.0500000000111</v>
      </c>
      <c r="P6" s="114">
        <f>IF(O6&lt;&gt;0,O6*$E$2,"")</f>
        <v>10376908.73100042</v>
      </c>
      <c r="R6" s="16"/>
    </row>
    <row r="7" spans="2:18" x14ac:dyDescent="0.25">
      <c r="B7" s="10" t="s">
        <v>10</v>
      </c>
      <c r="C7" s="40"/>
      <c r="D7" s="56"/>
      <c r="E7" s="18">
        <v>4500</v>
      </c>
      <c r="F7" s="3">
        <f>IF(E7&lt;&gt;0,E7*$E$2,"")</f>
        <v>170392590</v>
      </c>
      <c r="G7" s="139">
        <f>IF(ISNUMBER(SEARCH($L$2, L7)), 1, 0)*IF(ISNUMBER(SEARCH("Anual", H7)), 1/12, 1)</f>
        <v>0</v>
      </c>
      <c r="H7" s="90" t="s">
        <v>32</v>
      </c>
      <c r="I7" s="91"/>
      <c r="J7" s="73">
        <v>20</v>
      </c>
      <c r="K7" s="63">
        <f t="shared" ref="K7" si="0">IF(J7&lt;&gt;0,J7*$E$2,"")</f>
        <v>757300.39999999991</v>
      </c>
      <c r="L7" s="109">
        <v>1</v>
      </c>
      <c r="M7" s="55" t="s">
        <v>70</v>
      </c>
      <c r="N7" s="57"/>
      <c r="O7" s="115" cm="1">
        <f t="array" ref="O7">IF(L2&lt;&gt;1,-INDEX($K$36:$K$424,$O$2+1)+(valor_compra),0)</f>
        <v>597.31227904230809</v>
      </c>
      <c r="P7" s="116">
        <f>IF(O7&lt;&gt;0,O7*$E$2,"")</f>
        <v>22617241.392182574</v>
      </c>
      <c r="Q7" s="16"/>
    </row>
    <row r="8" spans="2:18" x14ac:dyDescent="0.25">
      <c r="B8" s="55" t="s">
        <v>7</v>
      </c>
      <c r="C8" s="41"/>
      <c r="D8" s="57"/>
      <c r="E8" s="19">
        <f>valor_compra*10%</f>
        <v>450</v>
      </c>
      <c r="F8" s="9">
        <f t="shared" ref="F8:F9" si="1">IF(E8&lt;&gt;0,E8*$E$2,"")</f>
        <v>17039259</v>
      </c>
      <c r="G8" s="139">
        <f t="shared" ref="G8:G14" si="2">IF(ISNUMBER(SEARCH($L$2, L8)), 1, 0)*IF(ISNUMBER(SEARCH("Anual", H8)), 1/12, 1)</f>
        <v>0</v>
      </c>
      <c r="H8" s="92" t="s">
        <v>39</v>
      </c>
      <c r="I8" s="93"/>
      <c r="J8" s="74"/>
      <c r="K8" s="64" t="str">
        <f>IF(J8&lt;&gt;0,J8*$E$2,"")</f>
        <v/>
      </c>
      <c r="L8" s="109" t="s">
        <v>88</v>
      </c>
      <c r="M8" s="55" t="s">
        <v>71</v>
      </c>
      <c r="N8" s="57"/>
      <c r="O8" s="115" cm="1">
        <f t="array" ref="O8">INDEX($R$36:$R$424,$O$2+1)</f>
        <v>-821.44929162596452</v>
      </c>
      <c r="P8" s="116">
        <f>IF(O8&lt;&gt;0,O8*$E$2,"")</f>
        <v>-31104193.856402975</v>
      </c>
      <c r="Q8" s="16"/>
    </row>
    <row r="9" spans="2:18" x14ac:dyDescent="0.25">
      <c r="B9" s="55" t="s">
        <v>11</v>
      </c>
      <c r="C9" s="41"/>
      <c r="D9" s="57"/>
      <c r="E9" s="19">
        <v>30</v>
      </c>
      <c r="F9" s="9">
        <f t="shared" si="1"/>
        <v>1135950.5999999999</v>
      </c>
      <c r="G9" s="139">
        <f t="shared" si="2"/>
        <v>1</v>
      </c>
      <c r="H9" s="92" t="s">
        <v>83</v>
      </c>
      <c r="I9" s="93"/>
      <c r="J9" s="74"/>
      <c r="K9" s="64" t="str">
        <f>IF(J9&lt;&gt;0,J9*$E$2,"")</f>
        <v/>
      </c>
      <c r="L9" s="109" t="s">
        <v>89</v>
      </c>
      <c r="M9" s="55"/>
      <c r="N9" s="57"/>
      <c r="O9" s="33"/>
      <c r="P9" s="20"/>
      <c r="Q9" s="16"/>
    </row>
    <row r="10" spans="2:18" x14ac:dyDescent="0.25">
      <c r="B10" s="55" t="s">
        <v>57</v>
      </c>
      <c r="C10" s="41"/>
      <c r="D10" s="57"/>
      <c r="E10" s="21">
        <v>0.04</v>
      </c>
      <c r="F10" s="20"/>
      <c r="G10" s="139">
        <f t="shared" si="2"/>
        <v>1</v>
      </c>
      <c r="H10" s="92" t="s">
        <v>33</v>
      </c>
      <c r="I10" s="93"/>
      <c r="J10" s="76"/>
      <c r="K10" s="64" t="str">
        <f>IF(J10&lt;&gt;0,J10*$E$2,"")</f>
        <v/>
      </c>
      <c r="L10" s="109">
        <v>3</v>
      </c>
      <c r="M10" s="55" t="s">
        <v>51</v>
      </c>
      <c r="N10" s="57"/>
      <c r="O10" s="124" cm="1">
        <f t="array" ref="O10">INDEX($U$36:$U$424,$O$2+1)</f>
        <v>49.912987416354554</v>
      </c>
      <c r="P10" s="125">
        <f>IF(O10&lt;&gt;0,O10*$E$2,"")</f>
        <v>1889956.2667800135</v>
      </c>
      <c r="Q10" s="16"/>
    </row>
    <row r="11" spans="2:18" x14ac:dyDescent="0.25">
      <c r="B11" s="55" t="s">
        <v>29</v>
      </c>
      <c r="C11" s="41"/>
      <c r="D11" s="57"/>
      <c r="E11" s="32">
        <v>0</v>
      </c>
      <c r="F11" s="20"/>
      <c r="G11" s="139">
        <f t="shared" si="2"/>
        <v>8.3333333333333329E-2</v>
      </c>
      <c r="H11" s="92" t="s">
        <v>41</v>
      </c>
      <c r="I11" s="93"/>
      <c r="J11" s="76"/>
      <c r="K11" s="64" t="str">
        <f>IF(J11&lt;&gt;0,J11*$E$2,"")</f>
        <v/>
      </c>
      <c r="L11" s="109" t="s">
        <v>89</v>
      </c>
      <c r="M11" s="55" t="s">
        <v>76</v>
      </c>
      <c r="N11" s="57"/>
      <c r="O11" s="117" cm="1">
        <f t="array" ref="O11">IF(L2&lt;&gt;1,INDEX($V$36:$V$424,$O$2+1),0)</f>
        <v>645.31298741635453</v>
      </c>
      <c r="P11" s="118">
        <f>IF(O11&lt;&gt;0,O11*$E$2,"")</f>
        <v>24434789.174780011</v>
      </c>
      <c r="Q11" s="16"/>
    </row>
    <row r="12" spans="2:18" x14ac:dyDescent="0.25">
      <c r="B12" s="55" t="s">
        <v>30</v>
      </c>
      <c r="C12" s="41"/>
      <c r="D12" s="57"/>
      <c r="E12" s="38">
        <f>valor_compra-pie</f>
        <v>4050</v>
      </c>
      <c r="F12" s="20"/>
      <c r="G12" s="139">
        <f t="shared" si="2"/>
        <v>0</v>
      </c>
      <c r="H12" s="92" t="s">
        <v>86</v>
      </c>
      <c r="I12" s="93"/>
      <c r="J12" s="77"/>
      <c r="K12" s="9" t="str">
        <f t="shared" ref="K12" si="3">IF(J12&lt;&gt;0,J12*$E$2,"")</f>
        <v/>
      </c>
      <c r="L12" s="109" t="s">
        <v>88</v>
      </c>
      <c r="M12" s="55"/>
      <c r="N12" s="57"/>
      <c r="O12" s="33"/>
      <c r="P12" s="20"/>
      <c r="Q12" s="16"/>
    </row>
    <row r="13" spans="2:18" x14ac:dyDescent="0.25">
      <c r="B13" s="55" t="s">
        <v>12</v>
      </c>
      <c r="C13" s="41"/>
      <c r="D13" s="57"/>
      <c r="E13" s="39">
        <f>IF(B10="Tasa Mensual Compuesta Anualizada",E10/12,IF(B10="Tasa Anual Lineal",(1+E10)^(1/12)-1,E10))</f>
        <v>3.2737397821989145E-3</v>
      </c>
      <c r="F13" s="20"/>
      <c r="G13" s="139">
        <f t="shared" si="2"/>
        <v>8.3333333333333329E-2</v>
      </c>
      <c r="H13" s="92" t="s">
        <v>87</v>
      </c>
      <c r="I13" s="93"/>
      <c r="J13" s="76"/>
      <c r="K13" s="64" t="str">
        <f>IF(J13&lt;&gt;0,J13*$E$2,"")</f>
        <v/>
      </c>
      <c r="L13" s="109" t="s">
        <v>89</v>
      </c>
      <c r="M13" s="55" t="s">
        <v>75</v>
      </c>
      <c r="N13" s="57"/>
      <c r="O13" s="119">
        <f>IF(L2&lt;&gt;1,MATCH(MAX(W36:W424),W36:W424,0)-1,0)</f>
        <v>69</v>
      </c>
      <c r="P13" s="120" t="str">
        <f>ROUND(O13/12,1)&amp;" Años"</f>
        <v>5.8 Años</v>
      </c>
    </row>
    <row r="14" spans="2:18" x14ac:dyDescent="0.25">
      <c r="B14" s="11" t="s">
        <v>38</v>
      </c>
      <c r="C14" s="42"/>
      <c r="D14" s="58"/>
      <c r="E14" s="26">
        <f>P0*rate*(rate+1)^(gracia+años*12)/((1+rate)^(12*años)-1)</f>
        <v>19.168720484415243</v>
      </c>
      <c r="F14" s="12">
        <f t="shared" ref="F14" si="4">IF(E14&lt;&gt;0,E14*$E$2,"")</f>
        <v>725823.98451679281</v>
      </c>
      <c r="G14" s="139">
        <f t="shared" si="2"/>
        <v>8.3333333333333329E-2</v>
      </c>
      <c r="H14" s="94" t="s">
        <v>40</v>
      </c>
      <c r="I14" s="95"/>
      <c r="J14" s="138"/>
      <c r="K14" s="65" t="str">
        <f>IF(J14&lt;&gt;0,J14*$E$2,"")</f>
        <v/>
      </c>
      <c r="L14" s="109" t="s">
        <v>89</v>
      </c>
      <c r="M14" s="55" t="s">
        <v>91</v>
      </c>
      <c r="N14" s="57"/>
      <c r="O14" s="119" cm="1">
        <f t="array" ref="O14">MATCH(TRUE, U37:U424*U36:U423&lt;0, 0)</f>
        <v>19</v>
      </c>
      <c r="P14" s="120" t="str">
        <f>ROUND(O14/12,1)&amp;" Años"</f>
        <v>1.6 Años</v>
      </c>
      <c r="Q14" s="7"/>
    </row>
    <row r="15" spans="2:18" x14ac:dyDescent="0.25">
      <c r="E15" s="7"/>
      <c r="M15" s="55"/>
      <c r="N15" s="57"/>
      <c r="O15" s="33"/>
      <c r="P15" s="20"/>
      <c r="Q15" s="7"/>
      <c r="R15" s="7"/>
    </row>
    <row r="16" spans="2:18" x14ac:dyDescent="0.25">
      <c r="B16" s="43" t="s">
        <v>13</v>
      </c>
      <c r="C16" s="49"/>
      <c r="D16" s="49"/>
      <c r="E16" s="22">
        <v>2</v>
      </c>
      <c r="F16" s="24"/>
      <c r="G16" s="36"/>
      <c r="H16" s="43" t="s">
        <v>34</v>
      </c>
      <c r="I16" s="49"/>
      <c r="J16" s="137">
        <v>0.6</v>
      </c>
      <c r="K16" s="37"/>
      <c r="M16" s="55" t="s">
        <v>80</v>
      </c>
      <c r="N16" s="57"/>
      <c r="O16" s="121" cm="1">
        <f t="array" ref="O16">INDEX($X$36:$X$424,$O$2+1)</f>
        <v>7.1058153085583609E-2</v>
      </c>
      <c r="P16" s="122"/>
      <c r="Q16" s="7"/>
    </row>
    <row r="17" spans="1:22" x14ac:dyDescent="0.25">
      <c r="B17" s="44" t="s">
        <v>36</v>
      </c>
      <c r="C17" s="50"/>
      <c r="D17" s="50"/>
      <c r="E17" s="8">
        <f>0.0003*E7*IF(J22="Casa",0.75,1)</f>
        <v>1.3499999999999999</v>
      </c>
      <c r="F17" s="9">
        <f>IF(E17&lt;&gt;0,E17*$E$2,"")</f>
        <v>51117.776999999987</v>
      </c>
      <c r="G17" s="34"/>
      <c r="H17" s="44" t="s">
        <v>35</v>
      </c>
      <c r="I17" s="50"/>
      <c r="J17" s="88">
        <v>0.03</v>
      </c>
      <c r="K17" s="64"/>
      <c r="M17" s="55" t="s">
        <v>72</v>
      </c>
      <c r="N17" s="57"/>
      <c r="O17" s="121" cm="1">
        <f t="array" ref="O17">INDEX($W$36:$W$424,$O$2+1)</f>
        <v>3.4372678533507006E-2</v>
      </c>
      <c r="P17" s="20"/>
      <c r="Q17" s="7"/>
    </row>
    <row r="18" spans="1:22" x14ac:dyDescent="0.25">
      <c r="B18" s="44" t="s">
        <v>37</v>
      </c>
      <c r="C18" s="50"/>
      <c r="D18" s="50"/>
      <c r="E18" s="8">
        <f>0.0001*E7*E16</f>
        <v>0.9</v>
      </c>
      <c r="F18" s="9">
        <f>IF(E18&lt;&gt;0,E18*$E$2,"")</f>
        <v>34078.517999999996</v>
      </c>
      <c r="G18" s="34"/>
      <c r="H18" s="44" t="s">
        <v>47</v>
      </c>
      <c r="I18" s="50"/>
      <c r="J18" s="72"/>
      <c r="K18" s="64"/>
      <c r="M18" s="55" t="s">
        <v>73</v>
      </c>
      <c r="N18" s="57"/>
      <c r="O18" s="59" cm="1">
        <f t="array" ref="O18">O17-INDEX($D$36:$D$424,$O$2+1)*12</f>
        <v>-1.3374483320153452E-2</v>
      </c>
      <c r="P18" s="122"/>
      <c r="Q18" s="7"/>
    </row>
    <row r="19" spans="1:22" x14ac:dyDescent="0.25">
      <c r="B19" s="45" t="s">
        <v>53</v>
      </c>
      <c r="C19" s="51"/>
      <c r="D19" s="51"/>
      <c r="E19" s="87">
        <f>IFERROR(RATE(12*años,E14+E17+E18,-P0)*12,0%)</f>
        <v>4.8692175233821647E-2</v>
      </c>
      <c r="F19" s="2"/>
      <c r="H19" s="44" t="s">
        <v>45</v>
      </c>
      <c r="I19" s="50"/>
      <c r="J19" s="78">
        <f>IF(J7&lt;&gt;0,J7*12/valor_compra,0)</f>
        <v>5.3333333333333337E-2</v>
      </c>
      <c r="K19" s="64"/>
      <c r="M19" s="55"/>
      <c r="N19" s="57"/>
      <c r="P19" s="122"/>
      <c r="Q19" s="7"/>
    </row>
    <row r="20" spans="1:22" x14ac:dyDescent="0.25">
      <c r="E20" s="17"/>
      <c r="G20" s="34"/>
      <c r="H20" s="45" t="s">
        <v>46</v>
      </c>
      <c r="I20" s="51"/>
      <c r="J20" s="75">
        <f>IF(J19&lt;&gt;0,J7*10.5/valor_compra,0)</f>
        <v>4.6666666666666669E-2</v>
      </c>
      <c r="K20" s="65"/>
      <c r="M20" s="55" t="s">
        <v>82</v>
      </c>
      <c r="N20" s="57"/>
      <c r="O20" s="128" cm="1">
        <f t="array" ref="O20">INDEX($Q$36:$Q$424,$O$2+1)</f>
        <v>-9.4187204844152248</v>
      </c>
      <c r="P20" s="125">
        <f>IF(O20&lt;&gt;0,O20*$E$2,"")</f>
        <v>-356640.03951679217</v>
      </c>
      <c r="Q20" s="7"/>
      <c r="R20" s="7"/>
      <c r="S20" s="7"/>
    </row>
    <row r="21" spans="1:22" x14ac:dyDescent="0.25">
      <c r="B21" s="46" t="s">
        <v>28</v>
      </c>
      <c r="C21" s="52"/>
      <c r="D21" s="52"/>
      <c r="E21" s="25">
        <f>IF(B21="Sin Gastos",0,SUM(E22:E27))</f>
        <v>55.4</v>
      </c>
      <c r="F21" s="3">
        <f>IF(E21&lt;&gt;0,E21*$E$2,"")</f>
        <v>2097722.1079999995</v>
      </c>
      <c r="G21" s="34"/>
      <c r="M21" s="55" t="s">
        <v>78</v>
      </c>
      <c r="N21" s="57"/>
      <c r="O21" s="126" cm="1">
        <f t="array" ref="O21">INDEX($T$36:$T$424,$O$2+1)</f>
        <v>-70.188217272288853</v>
      </c>
      <c r="P21" s="116">
        <f>IF(O21&lt;&gt;0,O21*$E$2,"")</f>
        <v>-2657678.2507795626</v>
      </c>
      <c r="Q21" s="7"/>
      <c r="R21" s="7"/>
      <c r="S21" s="7"/>
    </row>
    <row r="22" spans="1:22" x14ac:dyDescent="0.25">
      <c r="B22" s="47" t="s">
        <v>21</v>
      </c>
      <c r="C22" s="53"/>
      <c r="D22" s="53"/>
      <c r="E22" s="30">
        <v>3</v>
      </c>
      <c r="F22" s="9">
        <f>IF(E22&lt;&gt;0,E22*$E$2,"")</f>
        <v>113595.06</v>
      </c>
      <c r="G22" s="34"/>
      <c r="H22" s="46" t="s">
        <v>15</v>
      </c>
      <c r="I22" s="134"/>
      <c r="J22" s="142" t="s">
        <v>17</v>
      </c>
      <c r="K22" s="37"/>
      <c r="M22" s="11" t="s">
        <v>79</v>
      </c>
      <c r="N22" s="58"/>
      <c r="O22" s="127" cm="1">
        <f t="array" ref="O22">INDEX($S$36:$S$424,$O$2+1)</f>
        <v>-0.18982977126802533</v>
      </c>
      <c r="P22" s="123"/>
      <c r="Q22" s="7"/>
      <c r="R22" s="7"/>
      <c r="S22" s="7"/>
    </row>
    <row r="23" spans="1:22" x14ac:dyDescent="0.25">
      <c r="A23" t="s">
        <v>54</v>
      </c>
      <c r="B23" s="47" t="s">
        <v>22</v>
      </c>
      <c r="C23" s="53"/>
      <c r="D23" s="53"/>
      <c r="E23" s="30">
        <v>4.2</v>
      </c>
      <c r="F23" s="9">
        <f>IF(E23&lt;&gt;0,E23*$E$2,"")</f>
        <v>159033.084</v>
      </c>
      <c r="G23" s="34"/>
      <c r="H23" s="135" t="s">
        <v>27</v>
      </c>
      <c r="I23" s="136"/>
      <c r="J23" s="143" t="b">
        <v>1</v>
      </c>
      <c r="K23" s="64"/>
      <c r="Q23" s="7"/>
      <c r="R23" s="7"/>
      <c r="S23" s="7"/>
    </row>
    <row r="24" spans="1:22" x14ac:dyDescent="0.25">
      <c r="B24" s="47" t="s">
        <v>23</v>
      </c>
      <c r="C24" s="53"/>
      <c r="D24" s="53"/>
      <c r="E24" s="30">
        <v>3.3</v>
      </c>
      <c r="F24" s="9">
        <f>IF(E24&lt;&gt;0,E24*$E$2,"")</f>
        <v>124954.56599999998</v>
      </c>
      <c r="G24" s="34"/>
      <c r="H24" s="135" t="s">
        <v>55</v>
      </c>
      <c r="I24" s="136"/>
      <c r="J24" s="143" t="b">
        <v>0</v>
      </c>
      <c r="K24" s="64"/>
      <c r="Q24" s="7"/>
      <c r="R24" s="7"/>
      <c r="S24" s="7"/>
    </row>
    <row r="25" spans="1:22" x14ac:dyDescent="0.25">
      <c r="B25" s="47" t="s">
        <v>24</v>
      </c>
      <c r="C25" s="53"/>
      <c r="D25" s="53"/>
      <c r="E25" s="30">
        <v>3.5</v>
      </c>
      <c r="F25" s="9">
        <f>IF(E25&lt;&gt;0,E25*$E$2,"")</f>
        <v>132527.56999999998</v>
      </c>
      <c r="G25" s="34"/>
      <c r="H25" s="135" t="s">
        <v>16</v>
      </c>
      <c r="I25" s="136"/>
      <c r="J25" s="143">
        <v>75</v>
      </c>
      <c r="K25" s="64"/>
      <c r="Q25" s="7"/>
      <c r="R25" s="7"/>
      <c r="S25" s="7"/>
    </row>
    <row r="26" spans="1:22" x14ac:dyDescent="0.25">
      <c r="B26" s="47" t="s">
        <v>25</v>
      </c>
      <c r="C26" s="53"/>
      <c r="D26" s="53"/>
      <c r="E26" s="30">
        <f>0.2%*valor_compra*IF(AND(J23,J24),0.5,1)</f>
        <v>9</v>
      </c>
      <c r="F26" s="9">
        <f>IF(E26&lt;&gt;0,E26*$E$2,"")</f>
        <v>340785.18</v>
      </c>
      <c r="G26" s="34"/>
      <c r="H26" s="48" t="s">
        <v>44</v>
      </c>
      <c r="I26" s="89"/>
      <c r="J26" s="144">
        <f>E7/J25</f>
        <v>60</v>
      </c>
      <c r="K26" s="65"/>
      <c r="Q26" s="7"/>
      <c r="R26" s="7"/>
      <c r="S26" s="7"/>
    </row>
    <row r="27" spans="1:22" x14ac:dyDescent="0.25">
      <c r="B27" s="47" t="s">
        <v>26</v>
      </c>
      <c r="C27" s="53"/>
      <c r="D27" s="53"/>
      <c r="E27" s="30">
        <f>P0*IF(AND(J23,J24),0.2%,0.8%)</f>
        <v>32.4</v>
      </c>
      <c r="F27" s="9">
        <f>IF(E27&lt;&gt;0,E27*$E$2,"")</f>
        <v>1226826.6479999998</v>
      </c>
      <c r="G27" s="34"/>
      <c r="Q27" s="7"/>
      <c r="R27" s="7"/>
      <c r="S27" s="7"/>
    </row>
    <row r="28" spans="1:22" x14ac:dyDescent="0.25">
      <c r="B28" s="48" t="s">
        <v>8</v>
      </c>
      <c r="C28" s="54"/>
      <c r="D28" s="89"/>
      <c r="E28" s="23">
        <f>IF(B28="Comision 2%",valor_compra*2%,IF(B28="Comision 1%", valor_compra*1%,0))</f>
        <v>90</v>
      </c>
      <c r="F28" s="2">
        <f>IF(E28&lt;&gt;0,E28*$E$2,"")</f>
        <v>3407851.8</v>
      </c>
      <c r="G28" s="13"/>
      <c r="H28" s="4" t="s">
        <v>90</v>
      </c>
      <c r="I28" s="5"/>
      <c r="J28" s="140">
        <f>SUMPRODUCT(G7:G14,J7:J14)</f>
        <v>0</v>
      </c>
      <c r="K28" s="141" t="str">
        <f t="shared" ref="K28" si="5">IF(J28&lt;&gt;0,J28*$E$2,"")</f>
        <v/>
      </c>
      <c r="Q28" s="7"/>
      <c r="R28" s="7"/>
      <c r="S28" s="7"/>
    </row>
    <row r="29" spans="1:22" x14ac:dyDescent="0.25">
      <c r="F29" s="13"/>
      <c r="G29" s="35"/>
      <c r="Q29" s="7"/>
      <c r="R29" s="7"/>
      <c r="S29" s="7"/>
      <c r="V29" s="79"/>
    </row>
    <row r="30" spans="1:22" x14ac:dyDescent="0.25">
      <c r="B30" s="4" t="s">
        <v>14</v>
      </c>
      <c r="C30" s="6"/>
      <c r="D30" s="6"/>
      <c r="E30" s="27">
        <f>E8+E21+E28</f>
        <v>595.4</v>
      </c>
      <c r="F30" s="14">
        <f t="shared" ref="F30" si="6">E30*$E$2</f>
        <v>22544832.907999996</v>
      </c>
      <c r="Q30" s="7"/>
      <c r="R30" s="7"/>
      <c r="S30" s="7"/>
    </row>
    <row r="31" spans="1:22" x14ac:dyDescent="0.25">
      <c r="H31" s="31"/>
      <c r="Q31" s="7"/>
      <c r="R31" s="7"/>
      <c r="S31" s="7"/>
    </row>
    <row r="32" spans="1:22" x14ac:dyDescent="0.25">
      <c r="Q32" s="7"/>
      <c r="R32" s="7"/>
      <c r="S32" s="7"/>
    </row>
    <row r="34" spans="2:25" x14ac:dyDescent="0.25">
      <c r="B34"/>
      <c r="D34" s="107" t="s">
        <v>67</v>
      </c>
      <c r="E34" s="107"/>
      <c r="F34" s="107"/>
      <c r="G34" s="101" t="s">
        <v>60</v>
      </c>
      <c r="H34" s="101"/>
      <c r="I34" s="101"/>
      <c r="J34" s="101"/>
      <c r="K34" s="101"/>
      <c r="L34" s="102" t="s">
        <v>61</v>
      </c>
      <c r="M34" s="102"/>
      <c r="N34" s="102"/>
      <c r="O34" s="102"/>
      <c r="P34" s="102"/>
      <c r="Q34" s="103" t="s">
        <v>62</v>
      </c>
      <c r="R34" s="103"/>
      <c r="S34" s="103"/>
      <c r="T34" s="103"/>
      <c r="U34" s="104" t="s">
        <v>59</v>
      </c>
      <c r="V34" s="104"/>
      <c r="W34" s="104"/>
      <c r="X34" s="104"/>
      <c r="Y34" s="79"/>
    </row>
    <row r="35" spans="2:25" x14ac:dyDescent="0.25">
      <c r="B35" s="1" t="s">
        <v>0</v>
      </c>
      <c r="C35" s="1" t="s">
        <v>11</v>
      </c>
      <c r="D35" s="1" t="s">
        <v>65</v>
      </c>
      <c r="E35" s="1" t="s">
        <v>66</v>
      </c>
      <c r="F35" s="82" t="s">
        <v>64</v>
      </c>
      <c r="G35" s="1" t="s">
        <v>1</v>
      </c>
      <c r="H35" s="1" t="s">
        <v>68</v>
      </c>
      <c r="I35" s="1" t="s">
        <v>31</v>
      </c>
      <c r="J35" s="1" t="s">
        <v>42</v>
      </c>
      <c r="K35" s="1" t="s">
        <v>43</v>
      </c>
      <c r="L35" s="1" t="s">
        <v>6</v>
      </c>
      <c r="M35" s="1" t="s">
        <v>18</v>
      </c>
      <c r="N35" s="1" t="s">
        <v>48</v>
      </c>
      <c r="O35" s="1" t="s">
        <v>2</v>
      </c>
      <c r="P35" s="1" t="s">
        <v>5</v>
      </c>
      <c r="Q35" s="1" t="s">
        <v>49</v>
      </c>
      <c r="R35" s="1" t="s">
        <v>50</v>
      </c>
      <c r="S35" s="1" t="s">
        <v>58</v>
      </c>
      <c r="T35" s="1" t="s">
        <v>63</v>
      </c>
      <c r="U35" s="1" t="s">
        <v>77</v>
      </c>
      <c r="V35" s="1" t="s">
        <v>59</v>
      </c>
      <c r="W35" s="1" t="s">
        <v>19</v>
      </c>
      <c r="X35" s="1" t="s">
        <v>52</v>
      </c>
      <c r="Y35" s="84"/>
    </row>
    <row r="36" spans="2:25" x14ac:dyDescent="0.25">
      <c r="B36">
        <v>0</v>
      </c>
      <c r="C36" s="81">
        <f>B36/12</f>
        <v>0</v>
      </c>
      <c r="D36" s="105">
        <f>(1+$E$3/360)^30-1-((1+$E$4)^(1/12)-1)</f>
        <v>3.9789301544717048E-3</v>
      </c>
      <c r="E36" s="106">
        <v>1</v>
      </c>
      <c r="F36" s="60">
        <f>rate</f>
        <v>3.2737397821989145E-3</v>
      </c>
      <c r="J36" s="61">
        <f>IF(L2&lt;&gt;1,pie,0)</f>
        <v>450</v>
      </c>
      <c r="K36" s="61">
        <f>IF(L2&lt;&gt;1,P0,0)</f>
        <v>4050</v>
      </c>
      <c r="L36" s="61">
        <f>IF(L2&lt;&gt;1,valor_compra,0)</f>
        <v>4500</v>
      </c>
      <c r="N36" s="31"/>
      <c r="O36" s="61"/>
      <c r="P36" s="31">
        <f>IF(L2&lt;&gt;1,-E21-E28,-J7)</f>
        <v>-145.4</v>
      </c>
      <c r="Q36" s="31">
        <f>P36+O36+N36+M36-J36-G36</f>
        <v>-595.4</v>
      </c>
      <c r="R36" s="31">
        <f>SUM($Q$36:Q36)</f>
        <v>-595.4</v>
      </c>
      <c r="S36" s="31"/>
      <c r="T36" s="31">
        <f>SUMPRODUCT($Q$36:Q36,$E$36:E36)/E36-R36</f>
        <v>0</v>
      </c>
      <c r="U36" s="31">
        <f>R36-K36+L36</f>
        <v>-145.39999999999964</v>
      </c>
      <c r="V36" s="31">
        <f>IF($L$2&lt;&gt;1,U36+$E$30,U36)</f>
        <v>450.00000000000034</v>
      </c>
    </row>
    <row r="37" spans="2:25" x14ac:dyDescent="0.25">
      <c r="B37">
        <v>1</v>
      </c>
      <c r="C37" s="81">
        <f t="shared" ref="C37:C100" si="7">B37/12</f>
        <v>8.3333333333333329E-2</v>
      </c>
      <c r="D37" s="105">
        <f t="shared" ref="D37:D100" si="8">(1+$E$3/360)^30-1-((1+$E$4)^(1/12)-1)</f>
        <v>3.9789301544717048E-3</v>
      </c>
      <c r="E37" s="106">
        <f>E36/(1+D37)</f>
        <v>0.99603683898639239</v>
      </c>
      <c r="F37" s="60">
        <f>rate</f>
        <v>3.2737397821989145E-3</v>
      </c>
      <c r="G37" s="31">
        <f>IF(AND(B36&gt;=gracia,12*años+gracia-B36&gt;0,$L$2&lt;&gt;1),PMT(F36,12*años-B36+gracia,-K36),0)</f>
        <v>19.168720484415221</v>
      </c>
      <c r="H37" s="31">
        <f>IF(AND(12*años+gracia-B36&gt;0,$L$2&lt;&gt;1),K36*F37,0)</f>
        <v>13.258646117905604</v>
      </c>
      <c r="I37" s="31">
        <f>IF(AND(12*años+gracia-B36&gt;0,$L$2&lt;&gt;1),G37-H37,0)</f>
        <v>5.9100743665096171</v>
      </c>
      <c r="J37" s="62"/>
      <c r="K37" s="61">
        <f>K36-I37-J37</f>
        <v>4044.0899256334906</v>
      </c>
      <c r="L37" s="61">
        <f>L36*(1+$J$17)^(1/12)</f>
        <v>4511.0982139753669</v>
      </c>
      <c r="M37" s="31">
        <f>IF($L$2=3,$J$7*$J$16,0)</f>
        <v>12</v>
      </c>
      <c r="N37" s="31">
        <f>-$J$28</f>
        <v>0</v>
      </c>
      <c r="O37" s="31">
        <f>IF($L$2&lt;&gt;1,-$E$17-$E$18,0)</f>
        <v>-2.25</v>
      </c>
      <c r="P37" s="62"/>
      <c r="Q37" s="31">
        <f t="shared" ref="Q37:Q100" si="9">P37+O37+N37+M37-J37-G37</f>
        <v>-9.4187204844152213</v>
      </c>
      <c r="R37" s="31">
        <f>SUM($Q$36:Q37)</f>
        <v>-604.81872048441517</v>
      </c>
      <c r="S37" s="83">
        <f>IF($L$2&lt;&gt;1,-(R37-$R$36)/B37*12/$Q$36,0)</f>
        <v>-0.18982977126802533</v>
      </c>
      <c r="T37" s="31">
        <f>SUMPRODUCT($Q$36:Q37,$E$36:E37)/E37-R37</f>
        <v>-2.3690550139724564</v>
      </c>
      <c r="U37" s="31">
        <f t="shared" ref="U37:U100" si="10">R37-K37+L37</f>
        <v>-137.81043214253896</v>
      </c>
      <c r="V37" s="31">
        <f t="shared" ref="V37:V100" si="11">IF($L$2&lt;&gt;1,U37+$E$30,U37)</f>
        <v>457.58956785746102</v>
      </c>
      <c r="W37" s="80" cm="1">
        <f t="array" ref="W37">IF($L$2&lt;&gt;1,IRR(IF(ROW($Q$36:Q37)=ROW(Q37),Q37+L37-K37,$Q$36:Q37),W36/12)*12,0)</f>
        <v>-2.7775028312234995</v>
      </c>
      <c r="X37" s="83">
        <f>(1+W37/12)^(B37)-1</f>
        <v>-0.23145856926862496</v>
      </c>
      <c r="Y37" s="84"/>
    </row>
    <row r="38" spans="2:25" x14ac:dyDescent="0.25">
      <c r="B38">
        <v>2</v>
      </c>
      <c r="C38" s="81">
        <f t="shared" si="7"/>
        <v>0.16666666666666666</v>
      </c>
      <c r="D38" s="105">
        <f t="shared" si="8"/>
        <v>3.9789301544717048E-3</v>
      </c>
      <c r="E38" s="106">
        <f t="shared" ref="E38:E101" si="12">E37/(1+D38)</f>
        <v>0.99208938461800455</v>
      </c>
      <c r="F38" s="60">
        <f>rate</f>
        <v>3.2737397821989145E-3</v>
      </c>
      <c r="G38" s="31">
        <f>IF(AND(B37&gt;=gracia,12*años+gracia-B37&gt;0,$L$2&lt;&gt;1),PMT(F37,12*años-B37+gracia,-K37),0)</f>
        <v>19.168720484415225</v>
      </c>
      <c r="H38" s="31">
        <f>IF(AND(12*años+gracia-B37&gt;0,$L$2&lt;&gt;1),K37*F38,0)</f>
        <v>13.239298072336208</v>
      </c>
      <c r="I38" s="31">
        <f>IF(AND(12*años+gracia-B37&gt;0,$L$2&lt;&gt;1),G38-H38,0)</f>
        <v>5.9294224120790169</v>
      </c>
      <c r="J38" s="62"/>
      <c r="K38" s="61">
        <f t="shared" ref="K38:K101" si="13">K37-I38-J38</f>
        <v>4038.1605032214115</v>
      </c>
      <c r="L38" s="61">
        <f>L37*(1+$J$17)^(1/12)</f>
        <v>4522.2237991403872</v>
      </c>
      <c r="M38" s="31">
        <f t="shared" ref="M38:M101" si="14">IF($L$2=3,$J$7*$J$16,0)</f>
        <v>12</v>
      </c>
      <c r="N38" s="31">
        <f t="shared" ref="N38:N101" si="15">-$J$28</f>
        <v>0</v>
      </c>
      <c r="O38" s="31">
        <f t="shared" ref="O38:O101" si="16">IF($L$2&lt;&gt;1,-$E$17-$E$18,0)</f>
        <v>-2.25</v>
      </c>
      <c r="P38" s="62"/>
      <c r="Q38" s="31">
        <f t="shared" si="9"/>
        <v>-9.4187204844152248</v>
      </c>
      <c r="R38" s="31">
        <f>SUM($Q$36:Q38)</f>
        <v>-614.23744096883036</v>
      </c>
      <c r="S38" s="83">
        <f>IF($L$2&lt;&gt;1,-(R38-$R$36)/B38*12/$Q$36,0)</f>
        <v>-0.18982977126802533</v>
      </c>
      <c r="T38" s="31">
        <f>SUMPRODUCT($Q$36:Q38,$E$36:E38)/E38-R38</f>
        <v>-4.7850127633297461</v>
      </c>
      <c r="U38" s="31">
        <f t="shared" si="10"/>
        <v>-130.17414504985481</v>
      </c>
      <c r="V38" s="31">
        <f t="shared" si="11"/>
        <v>465.22585495014516</v>
      </c>
      <c r="W38" s="80" cm="1">
        <f t="array" ref="W38">IF($L$2&lt;&gt;1,IRR(IF(ROW($Q$36:Q38)=ROW(Q38),Q38+L38-K38,$Q$36:Q38),W37/12)*12,0)</f>
        <v>-1.3802613522082323</v>
      </c>
      <c r="X38" s="83">
        <f>(1+W38/12)^(B38)-1</f>
        <v>-0.21681354897637417</v>
      </c>
    </row>
    <row r="39" spans="2:25" x14ac:dyDescent="0.25">
      <c r="B39">
        <v>3</v>
      </c>
      <c r="C39" s="81">
        <f t="shared" si="7"/>
        <v>0.25</v>
      </c>
      <c r="D39" s="105">
        <f t="shared" si="8"/>
        <v>3.9789301544717048E-3</v>
      </c>
      <c r="E39" s="106">
        <f t="shared" si="12"/>
        <v>0.98815757464687248</v>
      </c>
      <c r="F39" s="60">
        <f>rate</f>
        <v>3.2737397821989145E-3</v>
      </c>
      <c r="G39" s="31">
        <f>IF(AND(B38&gt;=gracia,12*años+gracia-B38&gt;0,$L$2&lt;&gt;1),PMT(F38,12*años-B38+gracia,-K38),0)</f>
        <v>19.168720484415225</v>
      </c>
      <c r="H39" s="31">
        <f>IF(AND(12*años+gracia-B38&gt;0,$L$2&lt;&gt;1),K38*F39,0)</f>
        <v>13.219886686300322</v>
      </c>
      <c r="I39" s="31">
        <f>IF(AND(12*años+gracia-B38&gt;0,$L$2&lt;&gt;1),G39-H39,0)</f>
        <v>5.9488337981149026</v>
      </c>
      <c r="J39" s="62"/>
      <c r="K39" s="61">
        <f t="shared" si="13"/>
        <v>4032.2116694232968</v>
      </c>
      <c r="L39" s="61">
        <f>L38*(1+$J$17)^(1/12)</f>
        <v>4533.3768229997995</v>
      </c>
      <c r="M39" s="31">
        <f t="shared" si="14"/>
        <v>12</v>
      </c>
      <c r="N39" s="31">
        <f t="shared" si="15"/>
        <v>0</v>
      </c>
      <c r="O39" s="31">
        <f t="shared" si="16"/>
        <v>-2.25</v>
      </c>
      <c r="P39" s="62"/>
      <c r="Q39" s="31">
        <f t="shared" si="9"/>
        <v>-9.4187204844152248</v>
      </c>
      <c r="R39" s="31">
        <f>SUM($Q$36:Q39)</f>
        <v>-623.65616145324555</v>
      </c>
      <c r="S39" s="83">
        <f>IF($L$2&lt;&gt;1,-(R39-$R$36)/B39*12/$Q$36,0)</f>
        <v>-0.18982977126802533</v>
      </c>
      <c r="T39" s="31">
        <f>SUMPRODUCT($Q$36:Q39,$E$36:E39)/E39-R39</f>
        <v>-7.2480598707796844</v>
      </c>
      <c r="U39" s="31">
        <f t="shared" si="10"/>
        <v>-122.49100787674251</v>
      </c>
      <c r="V39" s="31">
        <f t="shared" si="11"/>
        <v>472.90899212325746</v>
      </c>
      <c r="W39" s="80" cm="1">
        <f t="array" ref="W39">IF($L$2&lt;&gt;1,IRR(IF(ROW($Q$36:Q39)=ROW(Q39),Q39+L39-K39,$Q$36:Q39),W38/12)*12,0)</f>
        <v>-0.87118412281903801</v>
      </c>
      <c r="X39" s="83">
        <f>(1+W39/12)^(B39)-1</f>
        <v>-0.2023669632963554</v>
      </c>
    </row>
    <row r="40" spans="2:25" x14ac:dyDescent="0.25">
      <c r="B40">
        <v>4</v>
      </c>
      <c r="C40" s="81">
        <f t="shared" si="7"/>
        <v>0.33333333333333331</v>
      </c>
      <c r="D40" s="105">
        <f t="shared" si="8"/>
        <v>3.9789301544717048E-3</v>
      </c>
      <c r="E40" s="106">
        <f t="shared" si="12"/>
        <v>0.98424134707173094</v>
      </c>
      <c r="F40" s="60">
        <f>rate</f>
        <v>3.2737397821989145E-3</v>
      </c>
      <c r="G40" s="31">
        <f>IF(AND(B39&gt;=gracia,12*años+gracia-B39&gt;0,$L$2&lt;&gt;1),PMT(F39,12*años-B39+gracia,-K39),0)</f>
        <v>19.168720484415225</v>
      </c>
      <c r="H40" s="31">
        <f>IF(AND(12*años+gracia-B39&gt;0,$L$2&lt;&gt;1),K39*F40,0)</f>
        <v>13.200411752437745</v>
      </c>
      <c r="I40" s="31">
        <f>IF(AND(12*años+gracia-B39&gt;0,$L$2&lt;&gt;1),G40-H40,0)</f>
        <v>5.9683087319774799</v>
      </c>
      <c r="J40" s="62"/>
      <c r="K40" s="61">
        <f t="shared" si="13"/>
        <v>4026.2433606913191</v>
      </c>
      <c r="L40" s="61">
        <f>L39*(1+$J$17)^(1/12)</f>
        <v>4544.5573532248263</v>
      </c>
      <c r="M40" s="31">
        <f t="shared" si="14"/>
        <v>12</v>
      </c>
      <c r="N40" s="31">
        <f t="shared" si="15"/>
        <v>0</v>
      </c>
      <c r="O40" s="31">
        <f t="shared" si="16"/>
        <v>-2.25</v>
      </c>
      <c r="P40" s="62"/>
      <c r="Q40" s="31">
        <f t="shared" si="9"/>
        <v>-9.4187204844152248</v>
      </c>
      <c r="R40" s="31">
        <f>SUM($Q$36:Q40)</f>
        <v>-633.07488193766073</v>
      </c>
      <c r="S40" s="83">
        <f>IF($L$2&lt;&gt;1,-(R40-$R$36)/B40*12/$Q$36,0)</f>
        <v>-0.18982977126802533</v>
      </c>
      <c r="T40" s="31">
        <f>SUMPRODUCT($Q$36:Q40,$E$36:E40)/E40-R40</f>
        <v>-9.7583837015893096</v>
      </c>
      <c r="U40" s="31">
        <f t="shared" si="10"/>
        <v>-114.7608894041532</v>
      </c>
      <c r="V40" s="31">
        <f t="shared" si="11"/>
        <v>480.63911059584677</v>
      </c>
      <c r="W40" s="80" cm="1">
        <f t="array" ref="W40">IF($L$2&lt;&gt;1,IRR(IF(ROW($Q$36:Q40)=ROW(Q40),Q40+L40-K40,$Q$36:Q40),W39/12)*12,0)</f>
        <v>-0.60909234751976937</v>
      </c>
      <c r="X40" s="83">
        <f>(1+W40/12)^(B40)-1</f>
        <v>-0.18808916003832077</v>
      </c>
    </row>
    <row r="41" spans="2:25" x14ac:dyDescent="0.25">
      <c r="B41">
        <v>5</v>
      </c>
      <c r="C41" s="81">
        <f t="shared" si="7"/>
        <v>0.41666666666666669</v>
      </c>
      <c r="D41" s="105">
        <f t="shared" si="8"/>
        <v>3.9789301544717048E-3</v>
      </c>
      <c r="E41" s="106">
        <f t="shared" si="12"/>
        <v>0.98034064013703559</v>
      </c>
      <c r="F41" s="60">
        <f>rate</f>
        <v>3.2737397821989145E-3</v>
      </c>
      <c r="G41" s="31">
        <f>IF(AND(B40&gt;=gracia,12*años+gracia-B40&gt;0,$L$2&lt;&gt;1),PMT(F40,12*años-B40+gracia,-K40),0)</f>
        <v>19.168720484415225</v>
      </c>
      <c r="H41" s="31">
        <f>IF(AND(12*años+gracia-B40&gt;0,$L$2&lt;&gt;1),K40*F41,0)</f>
        <v>13.180873062709425</v>
      </c>
      <c r="I41" s="31">
        <f>IF(AND(12*años+gracia-B40&gt;0,$L$2&lt;&gt;1),G41-H41,0)</f>
        <v>5.9878474217057995</v>
      </c>
      <c r="J41" s="62"/>
      <c r="K41" s="61">
        <f t="shared" si="13"/>
        <v>4020.2555132696134</v>
      </c>
      <c r="L41" s="61">
        <f>L40*(1+$J$17)^(1/12)</f>
        <v>4555.7654576535851</v>
      </c>
      <c r="M41" s="31">
        <f t="shared" si="14"/>
        <v>12</v>
      </c>
      <c r="N41" s="31">
        <f t="shared" si="15"/>
        <v>0</v>
      </c>
      <c r="O41" s="31">
        <f t="shared" si="16"/>
        <v>-2.25</v>
      </c>
      <c r="P41" s="62"/>
      <c r="Q41" s="31">
        <f t="shared" si="9"/>
        <v>-9.4187204844152248</v>
      </c>
      <c r="R41" s="31">
        <f>SUM($Q$36:Q41)</f>
        <v>-642.49360242207592</v>
      </c>
      <c r="S41" s="83">
        <f>IF($L$2&lt;&gt;1,-(R41-$R$36)/B41*12/$Q$36,0)</f>
        <v>-0.18982977126802533</v>
      </c>
      <c r="T41" s="31">
        <f>SUMPRODUCT($Q$36:Q41,$E$36:E41)/E41-R41</f>
        <v>-12.316172366538922</v>
      </c>
      <c r="U41" s="31">
        <f t="shared" si="10"/>
        <v>-106.98365803810429</v>
      </c>
      <c r="V41" s="31">
        <f t="shared" si="11"/>
        <v>488.41634196189568</v>
      </c>
      <c r="W41" s="80" cm="1">
        <f t="array" ref="W41">IF($L$2&lt;&gt;1,IRR(IF(ROW($Q$36:Q41)=ROW(Q41),Q41+L41-K41,$Q$36:Q41),W40/12)*12,0)</f>
        <v>-0.45003996051320616</v>
      </c>
      <c r="X41" s="83">
        <f>(1+W41/12)^(B41)-1</f>
        <v>-0.17396931980223584</v>
      </c>
      <c r="Y41" s="81"/>
    </row>
    <row r="42" spans="2:25" x14ac:dyDescent="0.25">
      <c r="B42">
        <v>6</v>
      </c>
      <c r="C42" s="81">
        <f t="shared" si="7"/>
        <v>0.5</v>
      </c>
      <c r="D42" s="105">
        <f t="shared" si="8"/>
        <v>3.9789301544717048E-3</v>
      </c>
      <c r="E42" s="106">
        <f t="shared" si="12"/>
        <v>0.9764553923319893</v>
      </c>
      <c r="F42" s="60">
        <f>rate</f>
        <v>3.2737397821989145E-3</v>
      </c>
      <c r="G42" s="31">
        <f>IF(AND(B41&gt;=gracia,12*años+gracia-B41&gt;0,$L$2&lt;&gt;1),PMT(F41,12*años-B41+gracia,-K41),0)</f>
        <v>19.168720484415225</v>
      </c>
      <c r="H42" s="31">
        <f>IF(AND(12*años+gracia-B41&gt;0,$L$2&lt;&gt;1),K41*F42,0)</f>
        <v>13.16127040839525</v>
      </c>
      <c r="I42" s="31">
        <f>IF(AND(12*años+gracia-B41&gt;0,$L$2&lt;&gt;1),G42-H42,0)</f>
        <v>6.0074500760199747</v>
      </c>
      <c r="J42" s="62"/>
      <c r="K42" s="61">
        <f t="shared" si="13"/>
        <v>4014.2480631935932</v>
      </c>
      <c r="L42" s="61">
        <f>L41*(1+$J$17)^(1/12)</f>
        <v>4567.0012042915014</v>
      </c>
      <c r="M42" s="31">
        <f t="shared" si="14"/>
        <v>12</v>
      </c>
      <c r="N42" s="31">
        <f t="shared" si="15"/>
        <v>0</v>
      </c>
      <c r="O42" s="31">
        <f t="shared" si="16"/>
        <v>-2.25</v>
      </c>
      <c r="P42" s="62"/>
      <c r="Q42" s="31">
        <f t="shared" si="9"/>
        <v>-9.4187204844152248</v>
      </c>
      <c r="R42" s="31">
        <f>SUM($Q$36:Q42)</f>
        <v>-651.91232290649111</v>
      </c>
      <c r="S42" s="83">
        <f>IF($L$2&lt;&gt;1,-(R42-$R$36)/B42*12/$Q$36,0)</f>
        <v>-0.18982977126802533</v>
      </c>
      <c r="T42" s="31">
        <f>SUMPRODUCT($Q$36:Q42,$E$36:E42)/E42-R42</f>
        <v>-14.921614724888173</v>
      </c>
      <c r="U42" s="31">
        <f t="shared" si="10"/>
        <v>-99.159181808582616</v>
      </c>
      <c r="V42" s="31">
        <f t="shared" si="11"/>
        <v>496.24081819141736</v>
      </c>
      <c r="W42" s="80" cm="1">
        <f t="array" ref="W42">IF($L$2&lt;&gt;1,IRR(IF(ROW($Q$36:Q42)=ROW(Q42),Q42+L42-K42,$Q$36:Q42),W41/12)*12,0)</f>
        <v>-0.34368910697893762</v>
      </c>
      <c r="X42" s="83">
        <f>(1+W42/12)^(B42)-1</f>
        <v>-0.160000055611074</v>
      </c>
      <c r="Y42" s="81"/>
    </row>
    <row r="43" spans="2:25" x14ac:dyDescent="0.25">
      <c r="B43">
        <v>7</v>
      </c>
      <c r="C43" s="81">
        <f t="shared" si="7"/>
        <v>0.58333333333333337</v>
      </c>
      <c r="D43" s="105">
        <f t="shared" si="8"/>
        <v>3.9789301544717048E-3</v>
      </c>
      <c r="E43" s="106">
        <f t="shared" si="12"/>
        <v>0.97258554238957218</v>
      </c>
      <c r="F43" s="60">
        <f>rate</f>
        <v>3.2737397821989145E-3</v>
      </c>
      <c r="G43" s="31">
        <f>IF(AND(B42&gt;=gracia,12*años+gracia-B42&gt;0,$L$2&lt;&gt;1),PMT(F42,12*años-B42+gracia,-K42),0)</f>
        <v>19.168720484415225</v>
      </c>
      <c r="H43" s="31">
        <f>IF(AND(12*años+gracia-B42&gt;0,$L$2&lt;&gt;1),K42*F43,0)</f>
        <v>13.141603580091807</v>
      </c>
      <c r="I43" s="31">
        <f>IF(AND(12*años+gracia-B42&gt;0,$L$2&lt;&gt;1),G43-H43,0)</f>
        <v>6.0271169043234174</v>
      </c>
      <c r="J43" s="62"/>
      <c r="K43" s="61">
        <f t="shared" si="13"/>
        <v>4008.2209462892697</v>
      </c>
      <c r="L43" s="61">
        <f>L42*(1+$J$17)^(1/12)</f>
        <v>4578.2646613117204</v>
      </c>
      <c r="M43" s="31">
        <f t="shared" si="14"/>
        <v>12</v>
      </c>
      <c r="N43" s="31">
        <f t="shared" si="15"/>
        <v>0</v>
      </c>
      <c r="O43" s="31">
        <f t="shared" si="16"/>
        <v>-2.25</v>
      </c>
      <c r="P43" s="62"/>
      <c r="Q43" s="31">
        <f t="shared" si="9"/>
        <v>-9.4187204844152248</v>
      </c>
      <c r="R43" s="31">
        <f>SUM($Q$36:Q43)</f>
        <v>-661.3310433909063</v>
      </c>
      <c r="S43" s="83">
        <f>IF($L$2&lt;&gt;1,-(R43-$R$36)/B43*12/$Q$36,0)</f>
        <v>-0.18982977126802533</v>
      </c>
      <c r="T43" s="31">
        <f>SUMPRODUCT($Q$36:Q43,$E$36:E43)/E43-R43</f>
        <v>-17.574900387354887</v>
      </c>
      <c r="U43" s="31">
        <f t="shared" si="10"/>
        <v>-91.287328368455746</v>
      </c>
      <c r="V43" s="31">
        <f t="shared" si="11"/>
        <v>504.11267163154423</v>
      </c>
      <c r="W43" s="80" cm="1">
        <f t="array" ref="W43">IF($L$2&lt;&gt;1,IRR(IF(ROW($Q$36:Q43)=ROW(Q43),Q43+L43-K43,$Q$36:Q43),W42/12)*12,0)</f>
        <v>-0.26787220305987347</v>
      </c>
      <c r="X43" s="83">
        <f>(1+W43/12)^(B43)-1</f>
        <v>-0.14617518420619502</v>
      </c>
      <c r="Y43" s="15"/>
    </row>
    <row r="44" spans="2:25" x14ac:dyDescent="0.25">
      <c r="B44">
        <v>8</v>
      </c>
      <c r="C44" s="81">
        <f t="shared" si="7"/>
        <v>0.66666666666666663</v>
      </c>
      <c r="D44" s="105">
        <f t="shared" si="8"/>
        <v>3.9789301544717048E-3</v>
      </c>
      <c r="E44" s="106">
        <f t="shared" si="12"/>
        <v>0.96873102928557542</v>
      </c>
      <c r="F44" s="60">
        <f>rate</f>
        <v>3.2737397821989145E-3</v>
      </c>
      <c r="G44" s="31">
        <f>IF(AND(B43&gt;=gracia,12*años+gracia-B43&gt;0,$L$2&lt;&gt;1),PMT(F43,12*años-B43+gracia,-K43),0)</f>
        <v>19.168720484415221</v>
      </c>
      <c r="H44" s="31">
        <f>IF(AND(12*años+gracia-B43&gt;0,$L$2&lt;&gt;1),K43*F44,0)</f>
        <v>13.121872367710161</v>
      </c>
      <c r="I44" s="31">
        <f>IF(AND(12*años+gracia-B43&gt;0,$L$2&lt;&gt;1),G44-H44,0)</f>
        <v>6.0468481167050605</v>
      </c>
      <c r="J44" s="62"/>
      <c r="K44" s="61">
        <f t="shared" si="13"/>
        <v>4002.1740981725648</v>
      </c>
      <c r="L44" s="61">
        <f>L43*(1+$J$17)^(1/12)</f>
        <v>4589.5558970555194</v>
      </c>
      <c r="M44" s="31">
        <f t="shared" si="14"/>
        <v>12</v>
      </c>
      <c r="N44" s="31">
        <f t="shared" si="15"/>
        <v>0</v>
      </c>
      <c r="O44" s="31">
        <f t="shared" si="16"/>
        <v>-2.25</v>
      </c>
      <c r="P44" s="62"/>
      <c r="Q44" s="31">
        <f t="shared" si="9"/>
        <v>-9.4187204844152213</v>
      </c>
      <c r="R44" s="31">
        <f>SUM($Q$36:Q44)</f>
        <v>-670.74976387532149</v>
      </c>
      <c r="S44" s="83">
        <f>IF($L$2&lt;&gt;1,-(R44-$R$36)/B44*12/$Q$36,0)</f>
        <v>-0.18982977126802533</v>
      </c>
      <c r="T44" s="31">
        <f>SUMPRODUCT($Q$36:Q44,$E$36:E44)/E44-R44</f>
        <v>-20.276219719104233</v>
      </c>
      <c r="U44" s="31">
        <f t="shared" si="10"/>
        <v>-83.367964992366979</v>
      </c>
      <c r="V44" s="31">
        <f t="shared" si="11"/>
        <v>512.032035007633</v>
      </c>
      <c r="W44" s="80" cm="1">
        <f t="array" ref="W44">IF($L$2&lt;&gt;1,IRR(IF(ROW($Q$36:Q44)=ROW(Q44),Q44+L44-K44,$Q$36:Q44),W43/12)*12,0)</f>
        <v>-0.21130829052570999</v>
      </c>
      <c r="X44" s="83">
        <f>(1+W44/12)^(B44)-1</f>
        <v>-0.1324891500632086</v>
      </c>
      <c r="Y44" s="81"/>
    </row>
    <row r="45" spans="2:25" x14ac:dyDescent="0.25">
      <c r="B45">
        <v>9</v>
      </c>
      <c r="C45" s="81">
        <f t="shared" si="7"/>
        <v>0.75</v>
      </c>
      <c r="D45" s="105">
        <f t="shared" si="8"/>
        <v>3.9789301544717048E-3</v>
      </c>
      <c r="E45" s="106">
        <f t="shared" si="12"/>
        <v>0.96489179223763888</v>
      </c>
      <c r="F45" s="60">
        <f>rate</f>
        <v>3.2737397821989145E-3</v>
      </c>
      <c r="G45" s="31">
        <f>IF(AND(B44&gt;=gracia,12*años+gracia-B44&gt;0,$L$2&lt;&gt;1),PMT(F44,12*años-B44+gracia,-K44),0)</f>
        <v>19.168720484415225</v>
      </c>
      <c r="H45" s="31">
        <f>IF(AND(12*años+gracia-B44&gt;0,$L$2&lt;&gt;1),K44*F45,0)</f>
        <v>13.10207656047359</v>
      </c>
      <c r="I45" s="31">
        <f>IF(AND(12*años+gracia-B44&gt;0,$L$2&lt;&gt;1),G45-H45,0)</f>
        <v>6.0666439239416352</v>
      </c>
      <c r="J45" s="62"/>
      <c r="K45" s="61">
        <f t="shared" si="13"/>
        <v>3996.1074542486231</v>
      </c>
      <c r="L45" s="61">
        <f>L44*(1+$J$17)^(1/12)</f>
        <v>4600.8749800327259</v>
      </c>
      <c r="M45" s="31">
        <f t="shared" si="14"/>
        <v>12</v>
      </c>
      <c r="N45" s="31">
        <f t="shared" si="15"/>
        <v>0</v>
      </c>
      <c r="O45" s="31">
        <f t="shared" si="16"/>
        <v>-2.25</v>
      </c>
      <c r="P45" s="62"/>
      <c r="Q45" s="31">
        <f t="shared" si="9"/>
        <v>-9.4187204844152248</v>
      </c>
      <c r="R45" s="31">
        <f>SUM($Q$36:Q45)</f>
        <v>-680.16848435973668</v>
      </c>
      <c r="S45" s="83">
        <f>IF($L$2&lt;&gt;1,-(R45-$R$36)/B45*12/$Q$36,0)</f>
        <v>-0.18982977126802533</v>
      </c>
      <c r="T45" s="31">
        <f>SUMPRODUCT($Q$36:Q45,$E$36:E45)/E45-R45</f>
        <v>-23.02576384275153</v>
      </c>
      <c r="U45" s="31">
        <f t="shared" si="10"/>
        <v>-75.400958575633922</v>
      </c>
      <c r="V45" s="31">
        <f t="shared" si="11"/>
        <v>519.99904142436606</v>
      </c>
      <c r="W45" s="80" cm="1">
        <f t="array" ref="W45">IF($L$2&lt;&gt;1,IRR(IF(ROW($Q$36:Q45)=ROW(Q45),Q45+L45-K45,$Q$36:Q45),W44/12)*12,0)</f>
        <v>-0.16765242451693041</v>
      </c>
      <c r="X45" s="83">
        <f>(1+W45/12)^(B45)-1</f>
        <v>-0.11893681882719043</v>
      </c>
      <c r="Y45" s="81"/>
    </row>
    <row r="46" spans="2:25" x14ac:dyDescent="0.25">
      <c r="B46">
        <v>10</v>
      </c>
      <c r="C46" s="81">
        <f t="shared" si="7"/>
        <v>0.83333333333333337</v>
      </c>
      <c r="D46" s="105">
        <f t="shared" si="8"/>
        <v>3.9789301544717048E-3</v>
      </c>
      <c r="E46" s="106">
        <f t="shared" si="12"/>
        <v>0.96106777070429272</v>
      </c>
      <c r="F46" s="60">
        <f>rate</f>
        <v>3.2737397821989145E-3</v>
      </c>
      <c r="G46" s="31">
        <f>IF(AND(B45&gt;=gracia,12*años+gracia-B45&gt;0,$L$2&lt;&gt;1),PMT(F45,12*años-B45+gracia,-K45),0)</f>
        <v>19.168720484415221</v>
      </c>
      <c r="H46" s="31">
        <f>IF(AND(12*años+gracia-B45&gt;0,$L$2&lt;&gt;1),K45*F46,0)</f>
        <v>13.082215946915346</v>
      </c>
      <c r="I46" s="31">
        <f>IF(AND(12*años+gracia-B45&gt;0,$L$2&lt;&gt;1),G46-H46,0)</f>
        <v>6.0865045374998754</v>
      </c>
      <c r="J46" s="62"/>
      <c r="K46" s="61">
        <f t="shared" si="13"/>
        <v>3990.0209497111232</v>
      </c>
      <c r="L46" s="61">
        <f>L45*(1+$J$17)^(1/12)</f>
        <v>4612.221978922129</v>
      </c>
      <c r="M46" s="31">
        <f t="shared" si="14"/>
        <v>12</v>
      </c>
      <c r="N46" s="31">
        <f t="shared" si="15"/>
        <v>0</v>
      </c>
      <c r="O46" s="31">
        <f t="shared" si="16"/>
        <v>-2.25</v>
      </c>
      <c r="P46" s="62"/>
      <c r="Q46" s="31">
        <f t="shared" si="9"/>
        <v>-9.4187204844152213</v>
      </c>
      <c r="R46" s="31">
        <f>SUM($Q$36:Q46)</f>
        <v>-689.58720484415187</v>
      </c>
      <c r="S46" s="83">
        <f>IF($L$2&lt;&gt;1,-(R46-$R$36)/B46*12/$Q$36,0)</f>
        <v>-0.18982977126802533</v>
      </c>
      <c r="T46" s="31">
        <f>SUMPRODUCT($Q$36:Q46,$E$36:E46)/E46-R46</f>
        <v>-25.823724641375406</v>
      </c>
      <c r="U46" s="31">
        <f t="shared" si="10"/>
        <v>-67.386175633146195</v>
      </c>
      <c r="V46" s="31">
        <f t="shared" si="11"/>
        <v>528.01382436685378</v>
      </c>
      <c r="W46" s="80" cm="1">
        <f t="array" ref="W46">IF($L$2&lt;&gt;1,IRR(IF(ROW($Q$36:Q46)=ROW(Q46),Q46+L46-K46,$Q$36:Q46),W45/12)*12,0)</f>
        <v>-0.13306316394525819</v>
      </c>
      <c r="X46" s="83">
        <f>(1+W46/12)^(B46)-1</f>
        <v>-0.10551338314670689</v>
      </c>
      <c r="Y46" s="81"/>
    </row>
    <row r="47" spans="2:25" x14ac:dyDescent="0.25">
      <c r="B47">
        <v>11</v>
      </c>
      <c r="C47" s="81">
        <f t="shared" si="7"/>
        <v>0.91666666666666663</v>
      </c>
      <c r="D47" s="105">
        <f t="shared" si="8"/>
        <v>3.9789301544717048E-3</v>
      </c>
      <c r="E47" s="106">
        <f t="shared" si="12"/>
        <v>0.95725890438400263</v>
      </c>
      <c r="F47" s="60">
        <f>rate</f>
        <v>3.2737397821989145E-3</v>
      </c>
      <c r="G47" s="31">
        <f>IF(AND(B46&gt;=gracia,12*años+gracia-B46&gt;0,$L$2&lt;&gt;1),PMT(F46,12*años-B46+gracia,-K46),0)</f>
        <v>19.168720484415225</v>
      </c>
      <c r="H47" s="31">
        <f>IF(AND(12*años+gracia-B46&gt;0,$L$2&lt;&gt;1),K46*F47,0)</f>
        <v>13.062290314876398</v>
      </c>
      <c r="I47" s="31">
        <f>IF(AND(12*años+gracia-B46&gt;0,$L$2&lt;&gt;1),G47-H47,0)</f>
        <v>6.106430169538827</v>
      </c>
      <c r="J47" s="62"/>
      <c r="K47" s="61">
        <f t="shared" si="13"/>
        <v>3983.9145195415845</v>
      </c>
      <c r="L47" s="61">
        <f>L46*(1+$J$17)^(1/12)</f>
        <v>4623.596962571899</v>
      </c>
      <c r="M47" s="31">
        <f t="shared" si="14"/>
        <v>12</v>
      </c>
      <c r="N47" s="31">
        <f t="shared" si="15"/>
        <v>0</v>
      </c>
      <c r="O47" s="31">
        <f t="shared" si="16"/>
        <v>-2.25</v>
      </c>
      <c r="P47" s="62"/>
      <c r="Q47" s="31">
        <f t="shared" si="9"/>
        <v>-9.4187204844152248</v>
      </c>
      <c r="R47" s="31">
        <f>SUM($Q$36:Q47)</f>
        <v>-699.00592532856706</v>
      </c>
      <c r="S47" s="83">
        <f>IF($L$2&lt;&gt;1,-(R47-$R$36)/B47*12/$Q$36,0)</f>
        <v>-0.18982977126802533</v>
      </c>
      <c r="T47" s="31">
        <f>SUMPRODUCT($Q$36:Q47,$E$36:E47)/E47-R47</f>
        <v>-28.670294761544028</v>
      </c>
      <c r="U47" s="31">
        <f t="shared" si="10"/>
        <v>-59.323482298252202</v>
      </c>
      <c r="V47" s="31">
        <f t="shared" si="11"/>
        <v>536.07651770174778</v>
      </c>
      <c r="W47" s="80" cm="1">
        <f t="array" ref="W47">IF($L$2&lt;&gt;1,IRR(IF(ROW($Q$36:Q47)=ROW(Q47),Q47+L47-K47,$Q$36:Q47),W46/12)*12,0)</f>
        <v>-0.10507935749895392</v>
      </c>
      <c r="X47" s="83">
        <f>(1+W47/12)^(B47)-1</f>
        <v>-9.2214310586992698E-2</v>
      </c>
      <c r="Y47" s="81"/>
    </row>
    <row r="48" spans="2:25" x14ac:dyDescent="0.25">
      <c r="B48">
        <v>12</v>
      </c>
      <c r="C48" s="81">
        <f t="shared" si="7"/>
        <v>1</v>
      </c>
      <c r="D48" s="105">
        <f t="shared" si="8"/>
        <v>3.9789301544717048E-3</v>
      </c>
      <c r="E48" s="106">
        <f t="shared" si="12"/>
        <v>0.95346513321421922</v>
      </c>
      <c r="F48" s="60">
        <f>rate</f>
        <v>3.2737397821989145E-3</v>
      </c>
      <c r="G48" s="31">
        <f>IF(AND(B47&gt;=gracia,12*años+gracia-B47&gt;0,$L$2&lt;&gt;1),PMT(F47,12*años-B47+gracia,-K47),0)</f>
        <v>19.168720484415225</v>
      </c>
      <c r="H48" s="31">
        <f>IF(AND(12*años+gracia-B47&gt;0,$L$2&lt;&gt;1),K47*F48,0)</f>
        <v>13.04229945150316</v>
      </c>
      <c r="I48" s="31">
        <f>IF(AND(12*años+gracia-B47&gt;0,$L$2&lt;&gt;1),G48-H48,0)</f>
        <v>6.1264210329120647</v>
      </c>
      <c r="J48" s="62"/>
      <c r="K48" s="61">
        <f t="shared" si="13"/>
        <v>3977.7880985086722</v>
      </c>
      <c r="L48" s="61">
        <f>L47*(1+$J$17)^(1/12)</f>
        <v>4635.0000000000055</v>
      </c>
      <c r="M48" s="31">
        <f t="shared" si="14"/>
        <v>12</v>
      </c>
      <c r="N48" s="31">
        <f t="shared" si="15"/>
        <v>0</v>
      </c>
      <c r="O48" s="31">
        <f t="shared" si="16"/>
        <v>-2.25</v>
      </c>
      <c r="P48" s="62"/>
      <c r="Q48" s="31">
        <f t="shared" si="9"/>
        <v>-9.4187204844152248</v>
      </c>
      <c r="R48" s="31">
        <f>SUM($Q$36:Q48)</f>
        <v>-708.42464581298225</v>
      </c>
      <c r="S48" s="83">
        <f>IF($L$2&lt;&gt;1,-(R48-$R$36)/B48*12/$Q$36,0)</f>
        <v>-0.18982977126802533</v>
      </c>
      <c r="T48" s="31">
        <f>SUMPRODUCT($Q$36:Q48,$E$36:E48)/E48-R48</f>
        <v>-31.565667616352698</v>
      </c>
      <c r="U48" s="31">
        <f t="shared" si="10"/>
        <v>-51.212744321648643</v>
      </c>
      <c r="V48" s="31">
        <f t="shared" si="11"/>
        <v>544.18725567835133</v>
      </c>
      <c r="W48" s="80" cm="1">
        <f t="array" ref="W48">IF($L$2&lt;&gt;1,IRR(IF(ROW($Q$36:Q48)=ROW(Q48),Q48+L48-K48,$Q$36:Q48),W47/12)*12,0)</f>
        <v>-8.2051776343404992E-2</v>
      </c>
      <c r="X48" s="83">
        <f>(1+W48/12)^(B48)-1</f>
        <v>-7.903531002811337E-2</v>
      </c>
      <c r="Y48" s="81"/>
    </row>
    <row r="49" spans="2:25" x14ac:dyDescent="0.25">
      <c r="B49">
        <v>13</v>
      </c>
      <c r="C49" s="81">
        <f t="shared" si="7"/>
        <v>1.0833333333333333</v>
      </c>
      <c r="D49" s="105">
        <f t="shared" si="8"/>
        <v>3.9789301544717048E-3</v>
      </c>
      <c r="E49" s="106">
        <f t="shared" si="12"/>
        <v>0.94968639737043037</v>
      </c>
      <c r="F49" s="60">
        <f>rate</f>
        <v>3.2737397821989145E-3</v>
      </c>
      <c r="G49" s="31">
        <f>IF(AND(B48&gt;=gracia,12*años+gracia-B48&gt;0,$L$2&lt;&gt;1),PMT(F48,12*años-B48+gracia,-K48),0)</f>
        <v>19.168720484415225</v>
      </c>
      <c r="H49" s="31">
        <f>IF(AND(12*años+gracia-B48&gt;0,$L$2&lt;&gt;1),K48*F49,0)</f>
        <v>13.022243143245214</v>
      </c>
      <c r="I49" s="31">
        <f>IF(AND(12*años+gracia-B48&gt;0,$L$2&lt;&gt;1),G49-H49,0)</f>
        <v>6.1464773411700104</v>
      </c>
      <c r="J49" s="62"/>
      <c r="K49" s="61">
        <f t="shared" si="13"/>
        <v>3971.6416211675023</v>
      </c>
      <c r="L49" s="61">
        <f>L48*(1+$J$17)^(1/12)</f>
        <v>4646.4311603946335</v>
      </c>
      <c r="M49" s="31">
        <f t="shared" si="14"/>
        <v>12</v>
      </c>
      <c r="N49" s="31">
        <f t="shared" si="15"/>
        <v>0</v>
      </c>
      <c r="O49" s="31">
        <f t="shared" si="16"/>
        <v>-2.25</v>
      </c>
      <c r="P49" s="62"/>
      <c r="Q49" s="31">
        <f t="shared" si="9"/>
        <v>-9.4187204844152248</v>
      </c>
      <c r="R49" s="31">
        <f>SUM($Q$36:Q49)</f>
        <v>-717.84336629739744</v>
      </c>
      <c r="S49" s="83">
        <f>IF($L$2&lt;&gt;1,-(R49-$R$36)/B49*12/$Q$36,0)</f>
        <v>-0.18982977126802533</v>
      </c>
      <c r="T49" s="31">
        <f>SUMPRODUCT($Q$36:Q49,$E$36:E49)/E49-R49</f>
        <v>-34.51003738847362</v>
      </c>
      <c r="U49" s="31">
        <f t="shared" si="10"/>
        <v>-43.053827070266379</v>
      </c>
      <c r="V49" s="31">
        <f t="shared" si="11"/>
        <v>552.3461729297336</v>
      </c>
      <c r="W49" s="80" cm="1">
        <f t="array" ref="W49">IF($L$2&lt;&gt;1,IRR(IF(ROW($Q$36:Q49)=ROW(Q49),Q49+L49-K49,$Q$36:Q49),W48/12)*12,0)</f>
        <v>-6.2834171791993132E-2</v>
      </c>
      <c r="X49" s="83">
        <f>(1+W49/12)^(B49)-1</f>
        <v>-6.5972307354784099E-2</v>
      </c>
      <c r="Y49" s="81"/>
    </row>
    <row r="50" spans="2:25" x14ac:dyDescent="0.25">
      <c r="B50">
        <v>14</v>
      </c>
      <c r="C50" s="81">
        <f t="shared" si="7"/>
        <v>1.1666666666666667</v>
      </c>
      <c r="D50" s="105">
        <f t="shared" si="8"/>
        <v>3.9789301544717048E-3</v>
      </c>
      <c r="E50" s="106">
        <f t="shared" si="12"/>
        <v>0.94592263726521841</v>
      </c>
      <c r="F50" s="60">
        <f>rate</f>
        <v>3.2737397821989145E-3</v>
      </c>
      <c r="G50" s="31">
        <f>IF(AND(B49&gt;=gracia,12*años+gracia-B49&gt;0,$L$2&lt;&gt;1),PMT(F49,12*años-B49+gracia,-K49),0)</f>
        <v>19.168720484415225</v>
      </c>
      <c r="H50" s="31">
        <f>IF(AND(12*años+gracia-B49&gt;0,$L$2&lt;&gt;1),K49*F50,0)</f>
        <v>13.002121175853043</v>
      </c>
      <c r="I50" s="31">
        <f>IF(AND(12*años+gracia-B49&gt;0,$L$2&lt;&gt;1),G50-H50,0)</f>
        <v>6.1665993085621817</v>
      </c>
      <c r="J50" s="62"/>
      <c r="K50" s="61">
        <f t="shared" si="13"/>
        <v>3965.4750218589402</v>
      </c>
      <c r="L50" s="61">
        <f>L49*(1+$J$17)^(1/12)</f>
        <v>4657.8905131146048</v>
      </c>
      <c r="M50" s="31">
        <f t="shared" si="14"/>
        <v>12</v>
      </c>
      <c r="N50" s="31">
        <f t="shared" si="15"/>
        <v>0</v>
      </c>
      <c r="O50" s="31">
        <f t="shared" si="16"/>
        <v>-2.25</v>
      </c>
      <c r="P50" s="62"/>
      <c r="Q50" s="31">
        <f t="shared" si="9"/>
        <v>-9.4187204844152248</v>
      </c>
      <c r="R50" s="31">
        <f>SUM($Q$36:Q50)</f>
        <v>-727.26208678181263</v>
      </c>
      <c r="S50" s="83">
        <f>IF($L$2&lt;&gt;1,-(R50-$R$36)/B50*12/$Q$36,0)</f>
        <v>-0.18982977126802533</v>
      </c>
      <c r="T50" s="31">
        <f>SUMPRODUCT($Q$36:Q50,$E$36:E50)/E50-R50</f>
        <v>-37.503599033218734</v>
      </c>
      <c r="U50" s="31">
        <f t="shared" si="10"/>
        <v>-34.846595526148121</v>
      </c>
      <c r="V50" s="31">
        <f t="shared" si="11"/>
        <v>560.55340447385186</v>
      </c>
      <c r="W50" s="80" cm="1">
        <f t="array" ref="W50">IF($L$2&lt;&gt;1,IRR(IF(ROW($Q$36:Q50)=ROW(Q50),Q50+L50-K50,$Q$36:Q50),W49/12)*12,0)</f>
        <v>-4.6605386639614554E-2</v>
      </c>
      <c r="X50" s="83">
        <f>(1+W50/12)^(B50)-1</f>
        <v>-5.3021426404925687E-2</v>
      </c>
    </row>
    <row r="51" spans="2:25" x14ac:dyDescent="0.25">
      <c r="B51">
        <v>15</v>
      </c>
      <c r="C51" s="81">
        <f t="shared" si="7"/>
        <v>1.25</v>
      </c>
      <c r="D51" s="105">
        <f t="shared" si="8"/>
        <v>3.9789301544717048E-3</v>
      </c>
      <c r="E51" s="106">
        <f t="shared" si="12"/>
        <v>0.94217379354732</v>
      </c>
      <c r="F51" s="60">
        <f>rate</f>
        <v>3.2737397821989145E-3</v>
      </c>
      <c r="G51" s="31">
        <f>IF(AND(B50&gt;=gracia,12*años+gracia-B50&gt;0,$L$2&lt;&gt;1),PMT(F50,12*años-B50+gracia,-K50),0)</f>
        <v>19.168720484415225</v>
      </c>
      <c r="H51" s="31">
        <f>IF(AND(12*años+gracia-B50&gt;0,$L$2&lt;&gt;1),K50*F51,0)</f>
        <v>12.981933334375723</v>
      </c>
      <c r="I51" s="31">
        <f>IF(AND(12*años+gracia-B50&gt;0,$L$2&lt;&gt;1),G51-H51,0)</f>
        <v>6.1867871500395015</v>
      </c>
      <c r="J51" s="62"/>
      <c r="K51" s="61">
        <f t="shared" si="13"/>
        <v>3959.2882347089007</v>
      </c>
      <c r="L51" s="61">
        <f>L50*(1+$J$17)^(1/12)</f>
        <v>4669.3781276897998</v>
      </c>
      <c r="M51" s="31">
        <f t="shared" si="14"/>
        <v>12</v>
      </c>
      <c r="N51" s="31">
        <f t="shared" si="15"/>
        <v>0</v>
      </c>
      <c r="O51" s="31">
        <f t="shared" si="16"/>
        <v>-2.25</v>
      </c>
      <c r="P51" s="62"/>
      <c r="Q51" s="31">
        <f t="shared" si="9"/>
        <v>-9.4187204844152248</v>
      </c>
      <c r="R51" s="31">
        <f>SUM($Q$36:Q51)</f>
        <v>-736.68080726622782</v>
      </c>
      <c r="S51" s="83">
        <f>IF($L$2&lt;&gt;1,-(R51-$R$36)/B51*12/$Q$36,0)</f>
        <v>-0.18982977126802533</v>
      </c>
      <c r="T51" s="31">
        <f>SUMPRODUCT($Q$36:Q51,$E$36:E51)/E51-R51</f>
        <v>-40.546548281613468</v>
      </c>
      <c r="U51" s="31">
        <f t="shared" si="10"/>
        <v>-26.590914285328836</v>
      </c>
      <c r="V51" s="31">
        <f t="shared" si="11"/>
        <v>568.80908571467114</v>
      </c>
      <c r="W51" s="80" cm="1">
        <f t="array" ref="W51">IF($L$2&lt;&gt;1,IRR(IF(ROW($Q$36:Q51)=ROW(Q51),Q51+L51-K51,$Q$36:Q51),W50/12)*12,0)</f>
        <v>-3.2761949582121197E-2</v>
      </c>
      <c r="X51" s="83">
        <f>(1+W51/12)^(B51)-1</f>
        <v>-4.0178973221708603E-2</v>
      </c>
    </row>
    <row r="52" spans="2:25" x14ac:dyDescent="0.25">
      <c r="B52">
        <v>16</v>
      </c>
      <c r="C52" s="81">
        <f t="shared" si="7"/>
        <v>1.3333333333333333</v>
      </c>
      <c r="D52" s="105">
        <f t="shared" si="8"/>
        <v>3.9789301544717048E-3</v>
      </c>
      <c r="E52" s="106">
        <f t="shared" si="12"/>
        <v>0.93843980710069042</v>
      </c>
      <c r="F52" s="60">
        <f>rate</f>
        <v>3.2737397821989145E-3</v>
      </c>
      <c r="G52" s="31">
        <f>IF(AND(B51&gt;=gracia,12*años+gracia-B51&gt;0,$L$2&lt;&gt;1),PMT(F51,12*años-B51+gracia,-K51),0)</f>
        <v>19.168720484415225</v>
      </c>
      <c r="H52" s="31">
        <f>IF(AND(12*años+gracia-B51&gt;0,$L$2&lt;&gt;1),K51*F52,0)</f>
        <v>12.961679403158641</v>
      </c>
      <c r="I52" s="31">
        <f>IF(AND(12*años+gracia-B51&gt;0,$L$2&lt;&gt;1),G52-H52,0)</f>
        <v>6.2070410812565839</v>
      </c>
      <c r="J52" s="62"/>
      <c r="K52" s="61">
        <f t="shared" si="13"/>
        <v>3953.0811936276441</v>
      </c>
      <c r="L52" s="61">
        <f>L51*(1+$J$17)^(1/12)</f>
        <v>4680.894073821577</v>
      </c>
      <c r="M52" s="31">
        <f t="shared" si="14"/>
        <v>12</v>
      </c>
      <c r="N52" s="31">
        <f t="shared" si="15"/>
        <v>0</v>
      </c>
      <c r="O52" s="31">
        <f t="shared" si="16"/>
        <v>-2.25</v>
      </c>
      <c r="P52" s="62"/>
      <c r="Q52" s="31">
        <f t="shared" si="9"/>
        <v>-9.4187204844152248</v>
      </c>
      <c r="R52" s="31">
        <f>SUM($Q$36:Q52)</f>
        <v>-746.09952775064301</v>
      </c>
      <c r="S52" s="83">
        <f>IF($L$2&lt;&gt;1,-(R52-$R$36)/B52*12/$Q$36,0)</f>
        <v>-0.18982977126802533</v>
      </c>
      <c r="T52" s="31">
        <f>SUMPRODUCT($Q$36:Q52,$E$36:E52)/E52-R52</f>
        <v>-43.639081643483223</v>
      </c>
      <c r="U52" s="31">
        <f t="shared" si="10"/>
        <v>-18.286647556709795</v>
      </c>
      <c r="V52" s="31">
        <f t="shared" si="11"/>
        <v>577.11335244329018</v>
      </c>
      <c r="W52" s="80" cm="1">
        <f t="array" ref="W52">IF($L$2&lt;&gt;1,IRR(IF(ROW($Q$36:Q52)=ROW(Q52),Q52+L52-K52,$Q$36:Q52),W51/12)*12,0)</f>
        <v>-2.0850593105248283E-2</v>
      </c>
      <c r="X52" s="83">
        <f>(1+W52/12)^(B52)-1</f>
        <v>-2.7441422572723972E-2</v>
      </c>
    </row>
    <row r="53" spans="2:25" x14ac:dyDescent="0.25">
      <c r="B53">
        <v>17</v>
      </c>
      <c r="C53" s="81">
        <f t="shared" si="7"/>
        <v>1.4166666666666667</v>
      </c>
      <c r="D53" s="105">
        <f t="shared" si="8"/>
        <v>3.9789301544717048E-3</v>
      </c>
      <c r="E53" s="106">
        <f t="shared" si="12"/>
        <v>0.93472061904357151</v>
      </c>
      <c r="F53" s="60">
        <f>rate</f>
        <v>3.2737397821989145E-3</v>
      </c>
      <c r="G53" s="31">
        <f>IF(AND(B52&gt;=gracia,12*años+gracia-B52&gt;0,$L$2&lt;&gt;1),PMT(F52,12*años-B52+gracia,-K52),0)</f>
        <v>19.168720484415221</v>
      </c>
      <c r="H53" s="31">
        <f>IF(AND(12*años+gracia-B52&gt;0,$L$2&lt;&gt;1),K52*F53,0)</f>
        <v>12.941359165841188</v>
      </c>
      <c r="I53" s="31">
        <f>IF(AND(12*años+gracia-B52&gt;0,$L$2&lt;&gt;1),G53-H53,0)</f>
        <v>6.2273613185740331</v>
      </c>
      <c r="J53" s="62"/>
      <c r="K53" s="61">
        <f t="shared" si="13"/>
        <v>3946.8538323090702</v>
      </c>
      <c r="L53" s="61">
        <f>L52*(1+$J$17)^(1/12)</f>
        <v>4692.4384213831981</v>
      </c>
      <c r="M53" s="31">
        <f t="shared" si="14"/>
        <v>12</v>
      </c>
      <c r="N53" s="31">
        <f t="shared" si="15"/>
        <v>0</v>
      </c>
      <c r="O53" s="31">
        <f t="shared" si="16"/>
        <v>-2.25</v>
      </c>
      <c r="P53" s="62"/>
      <c r="Q53" s="31">
        <f t="shared" si="9"/>
        <v>-9.4187204844152213</v>
      </c>
      <c r="R53" s="31">
        <f>SUM($Q$36:Q53)</f>
        <v>-755.51824823505819</v>
      </c>
      <c r="S53" s="83">
        <f>IF($L$2&lt;&gt;1,-(R53-$R$36)/B53*12/$Q$36,0)</f>
        <v>-0.18982977126802533</v>
      </c>
      <c r="T53" s="31">
        <f>SUMPRODUCT($Q$36:Q53,$E$36:E53)/E53-R53</f>
        <v>-46.78139641055202</v>
      </c>
      <c r="U53" s="31">
        <f t="shared" si="10"/>
        <v>-9.9336591609298921</v>
      </c>
      <c r="V53" s="31">
        <f t="shared" si="11"/>
        <v>585.46634083907009</v>
      </c>
      <c r="W53" s="80" cm="1">
        <f t="array" ref="W53">IF($L$2&lt;&gt;1,IRR(IF(ROW($Q$36:Q53)=ROW(Q53),Q53+L53-K53,$Q$36:Q53),W52/12)*12,0)</f>
        <v>-1.0524394018611272E-2</v>
      </c>
      <c r="X53" s="83">
        <f>(1+W53/12)^(B53)-1</f>
        <v>-1.4805406140695809E-2</v>
      </c>
    </row>
    <row r="54" spans="2:25" x14ac:dyDescent="0.25">
      <c r="B54">
        <v>18</v>
      </c>
      <c r="C54" s="81">
        <f t="shared" si="7"/>
        <v>1.5</v>
      </c>
      <c r="D54" s="105">
        <f t="shared" si="8"/>
        <v>3.9789301544717048E-3</v>
      </c>
      <c r="E54" s="106">
        <f t="shared" si="12"/>
        <v>0.93101617072756282</v>
      </c>
      <c r="F54" s="60">
        <f>rate</f>
        <v>3.2737397821989145E-3</v>
      </c>
      <c r="G54" s="31">
        <f>IF(AND(B53&gt;=gracia,12*años+gracia-B53&gt;0,$L$2&lt;&gt;1),PMT(F53,12*años-B53+gracia,-K53),0)</f>
        <v>19.168720484415225</v>
      </c>
      <c r="H54" s="31">
        <f>IF(AND(12*años+gracia-B53&gt;0,$L$2&lt;&gt;1),K53*F54,0)</f>
        <v>12.920972405354446</v>
      </c>
      <c r="I54" s="31">
        <f>IF(AND(12*años+gracia-B53&gt;0,$L$2&lt;&gt;1),G54-H54,0)</f>
        <v>6.2477480790607789</v>
      </c>
      <c r="J54" s="62"/>
      <c r="K54" s="61">
        <f t="shared" si="13"/>
        <v>3940.6060842300094</v>
      </c>
      <c r="L54" s="61">
        <f>L53*(1+$J$17)^(1/12)</f>
        <v>4704.0112404202519</v>
      </c>
      <c r="M54" s="31">
        <f t="shared" si="14"/>
        <v>12</v>
      </c>
      <c r="N54" s="31">
        <f t="shared" si="15"/>
        <v>0</v>
      </c>
      <c r="O54" s="31">
        <f t="shared" si="16"/>
        <v>-2.25</v>
      </c>
      <c r="P54" s="62"/>
      <c r="Q54" s="31">
        <f t="shared" si="9"/>
        <v>-9.4187204844152248</v>
      </c>
      <c r="R54" s="31">
        <f>SUM($Q$36:Q54)</f>
        <v>-764.93696871947338</v>
      </c>
      <c r="S54" s="83">
        <f>IF($L$2&lt;&gt;1,-(R54-$R$36)/B54*12/$Q$36,0)</f>
        <v>-0.18982977126802533</v>
      </c>
      <c r="T54" s="31">
        <f>SUMPRODUCT($Q$36:Q54,$E$36:E54)/E54-R54</f>
        <v>-49.97369065955445</v>
      </c>
      <c r="U54" s="31">
        <f t="shared" si="10"/>
        <v>-1.5318125292305922</v>
      </c>
      <c r="V54" s="31">
        <f t="shared" si="11"/>
        <v>593.86818747076939</v>
      </c>
      <c r="W54" s="80" cm="1">
        <f t="array" ref="W54">IF($L$2&lt;&gt;1,IRR(IF(ROW($Q$36:Q54)=ROW(Q54),Q54+L54-K54,$Q$36:Q54),W53/12)*12,0)</f>
        <v>-1.5134226544670781E-3</v>
      </c>
      <c r="X54" s="83">
        <f>(1+W54/12)^(B54)-1</f>
        <v>-2.267702016706008E-3</v>
      </c>
    </row>
    <row r="55" spans="2:25" x14ac:dyDescent="0.25">
      <c r="B55">
        <v>19</v>
      </c>
      <c r="C55" s="81">
        <f t="shared" si="7"/>
        <v>1.5833333333333333</v>
      </c>
      <c r="D55" s="105">
        <f t="shared" si="8"/>
        <v>3.9789301544717048E-3</v>
      </c>
      <c r="E55" s="106">
        <f t="shared" si="12"/>
        <v>0.92732640373669706</v>
      </c>
      <c r="F55" s="60">
        <f>rate</f>
        <v>3.2737397821989145E-3</v>
      </c>
      <c r="G55" s="31">
        <f>IF(AND(B54&gt;=gracia,12*años+gracia-B54&gt;0,$L$2&lt;&gt;1),PMT(F54,12*años-B54+gracia,-K54),0)</f>
        <v>19.168720484415225</v>
      </c>
      <c r="H55" s="31">
        <f>IF(AND(12*años+gracia-B54&gt;0,$L$2&lt;&gt;1),K54*F55,0)</f>
        <v>12.900518903918869</v>
      </c>
      <c r="I55" s="31">
        <f>IF(AND(12*años+gracia-B54&gt;0,$L$2&lt;&gt;1),G55-H55,0)</f>
        <v>6.2682015804963562</v>
      </c>
      <c r="J55" s="62"/>
      <c r="K55" s="61">
        <f t="shared" si="13"/>
        <v>3934.3378826495132</v>
      </c>
      <c r="L55" s="61">
        <f>L54*(1+$J$17)^(1/12)</f>
        <v>4715.6126011510769</v>
      </c>
      <c r="M55" s="31">
        <f t="shared" si="14"/>
        <v>12</v>
      </c>
      <c r="N55" s="31">
        <f t="shared" si="15"/>
        <v>0</v>
      </c>
      <c r="O55" s="31">
        <f t="shared" si="16"/>
        <v>-2.25</v>
      </c>
      <c r="P55" s="62"/>
      <c r="Q55" s="31">
        <f t="shared" si="9"/>
        <v>-9.4187204844152248</v>
      </c>
      <c r="R55" s="31">
        <f>SUM($Q$36:Q55)</f>
        <v>-774.35568920388857</v>
      </c>
      <c r="S55" s="83">
        <f>IF($L$2&lt;&gt;1,-(R55-$R$36)/B55*12/$Q$36,0)</f>
        <v>-0.18982977126802533</v>
      </c>
      <c r="T55" s="31">
        <f>SUMPRODUCT($Q$36:Q55,$E$36:E55)/E55-R55</f>
        <v>-53.216163255358197</v>
      </c>
      <c r="U55" s="31">
        <f t="shared" si="10"/>
        <v>6.919029297675479</v>
      </c>
      <c r="V55" s="31">
        <f t="shared" si="11"/>
        <v>602.31902929767546</v>
      </c>
      <c r="W55" s="80" cm="1">
        <f t="array" ref="W55">IF($L$2&lt;&gt;1,IRR(IF(ROW($Q$36:Q55)=ROW(Q55),Q55+L55-K55,$Q$36:Q55),W54/12)*12,0)</f>
        <v>6.3954047832668337E-3</v>
      </c>
      <c r="X55" s="83">
        <f>(1+W55/12)^(B55)-1</f>
        <v>1.0174774748963999E-2</v>
      </c>
    </row>
    <row r="56" spans="2:25" x14ac:dyDescent="0.25">
      <c r="B56">
        <v>20</v>
      </c>
      <c r="C56" s="81">
        <f t="shared" si="7"/>
        <v>1.6666666666666667</v>
      </c>
      <c r="D56" s="105">
        <f t="shared" si="8"/>
        <v>3.9789301544717048E-3</v>
      </c>
      <c r="E56" s="106">
        <f t="shared" si="12"/>
        <v>0.92365125988651886</v>
      </c>
      <c r="F56" s="60">
        <f>rate</f>
        <v>3.2737397821989145E-3</v>
      </c>
      <c r="G56" s="31">
        <f>IF(AND(B55&gt;=gracia,12*años+gracia-B55&gt;0,$L$2&lt;&gt;1),PMT(F55,12*años-B55+gracia,-K55),0)</f>
        <v>19.168720484415225</v>
      </c>
      <c r="H56" s="31">
        <f>IF(AND(12*años+gracia-B55&gt;0,$L$2&lt;&gt;1),K55*F56,0)</f>
        <v>12.879998443041956</v>
      </c>
      <c r="I56" s="31">
        <f>IF(AND(12*años+gracia-B55&gt;0,$L$2&lt;&gt;1),G56-H56,0)</f>
        <v>6.2887220413732692</v>
      </c>
      <c r="J56" s="62"/>
      <c r="K56" s="61">
        <f t="shared" si="13"/>
        <v>3928.04916060814</v>
      </c>
      <c r="L56" s="61">
        <f>L55*(1+$J$17)^(1/12)</f>
        <v>4727.2425739671899</v>
      </c>
      <c r="M56" s="31">
        <f t="shared" si="14"/>
        <v>12</v>
      </c>
      <c r="N56" s="31">
        <f t="shared" si="15"/>
        <v>0</v>
      </c>
      <c r="O56" s="31">
        <f t="shared" si="16"/>
        <v>-2.25</v>
      </c>
      <c r="P56" s="62"/>
      <c r="Q56" s="31">
        <f t="shared" si="9"/>
        <v>-9.4187204844152248</v>
      </c>
      <c r="R56" s="31">
        <f>SUM($Q$36:Q56)</f>
        <v>-783.77440968830376</v>
      </c>
      <c r="S56" s="83">
        <f>IF($L$2&lt;&gt;1,-(R56-$R$36)/B56*12/$Q$36,0)</f>
        <v>-0.18982977126802533</v>
      </c>
      <c r="T56" s="31">
        <f>SUMPRODUCT($Q$36:Q56,$E$36:E56)/E56-R56</f>
        <v>-56.509013854100203</v>
      </c>
      <c r="U56" s="31">
        <f t="shared" si="10"/>
        <v>15.419003670745951</v>
      </c>
      <c r="V56" s="31">
        <f t="shared" si="11"/>
        <v>610.81900367074593</v>
      </c>
      <c r="W56" s="80" cm="1">
        <f t="array" ref="W56">IF($L$2&lt;&gt;1,IRR(IF(ROW($Q$36:Q56)=ROW(Q56),Q56+L56-K56,$Q$36:Q56),W55/12)*12,0)</f>
        <v>1.3372469214258054E-2</v>
      </c>
      <c r="X56" s="83">
        <f>(1+W56/12)^(B56)-1</f>
        <v>2.2524980710608711E-2</v>
      </c>
    </row>
    <row r="57" spans="2:25" x14ac:dyDescent="0.25">
      <c r="B57">
        <v>21</v>
      </c>
      <c r="C57" s="81">
        <f t="shared" si="7"/>
        <v>1.75</v>
      </c>
      <c r="D57" s="105">
        <f t="shared" si="8"/>
        <v>3.9789301544717048E-3</v>
      </c>
      <c r="E57" s="106">
        <f t="shared" si="12"/>
        <v>0.91999068122316707</v>
      </c>
      <c r="F57" s="60">
        <f>rate</f>
        <v>3.2737397821989145E-3</v>
      </c>
      <c r="G57" s="31">
        <f>IF(AND(B56&gt;=gracia,12*años+gracia-B56&gt;0,$L$2&lt;&gt;1),PMT(F56,12*años-B56+gracia,-K56),0)</f>
        <v>19.168720484415225</v>
      </c>
      <c r="H57" s="31">
        <f>IF(AND(12*años+gracia-B56&gt;0,$L$2&lt;&gt;1),K56*F57,0)</f>
        <v>12.859410803515921</v>
      </c>
      <c r="I57" s="31">
        <f>IF(AND(12*años+gracia-B56&gt;0,$L$2&lt;&gt;1),G57-H57,0)</f>
        <v>6.3093096808993039</v>
      </c>
      <c r="J57" s="62"/>
      <c r="K57" s="61">
        <f t="shared" si="13"/>
        <v>3921.7398509272407</v>
      </c>
      <c r="L57" s="61">
        <f>L56*(1+$J$17)^(1/12)</f>
        <v>4738.9012294337126</v>
      </c>
      <c r="M57" s="31">
        <f t="shared" si="14"/>
        <v>12</v>
      </c>
      <c r="N57" s="31">
        <f t="shared" si="15"/>
        <v>0</v>
      </c>
      <c r="O57" s="31">
        <f t="shared" si="16"/>
        <v>-2.25</v>
      </c>
      <c r="P57" s="62"/>
      <c r="Q57" s="31">
        <f t="shared" si="9"/>
        <v>-9.4187204844152248</v>
      </c>
      <c r="R57" s="31">
        <f>SUM($Q$36:Q57)</f>
        <v>-793.19313017271895</v>
      </c>
      <c r="S57" s="83">
        <f>IF($L$2&lt;&gt;1,-(R57-$R$36)/B57*12/$Q$36,0)</f>
        <v>-0.18982977126802533</v>
      </c>
      <c r="T57" s="31">
        <f>SUMPRODUCT($Q$36:Q57,$E$36:E57)/E57-R57</f>
        <v>-59.852442906335909</v>
      </c>
      <c r="U57" s="31">
        <f t="shared" si="10"/>
        <v>23.968248333752854</v>
      </c>
      <c r="V57" s="31">
        <f t="shared" si="11"/>
        <v>619.36824833375283</v>
      </c>
      <c r="W57" s="80" cm="1">
        <f t="array" ref="W57">IF($L$2&lt;&gt;1,IRR(IF(ROW($Q$36:Q57)=ROW(Q57),Q57+L57-K57,$Q$36:Q57),W56/12)*12,0)</f>
        <v>1.9555575315426843E-2</v>
      </c>
      <c r="X57" s="83">
        <f>(1+W57/12)^(B57)-1</f>
        <v>3.4785751833336542E-2</v>
      </c>
    </row>
    <row r="58" spans="2:25" x14ac:dyDescent="0.25">
      <c r="B58">
        <v>22</v>
      </c>
      <c r="C58" s="81">
        <f t="shared" si="7"/>
        <v>1.8333333333333333</v>
      </c>
      <c r="D58" s="105">
        <f t="shared" si="8"/>
        <v>3.9789301544717048E-3</v>
      </c>
      <c r="E58" s="106">
        <f t="shared" si="12"/>
        <v>0.91634461002246104</v>
      </c>
      <c r="F58" s="60">
        <f>rate</f>
        <v>3.2737397821989145E-3</v>
      </c>
      <c r="G58" s="31">
        <f>IF(AND(B57&gt;=gracia,12*años+gracia-B57&gt;0,$L$2&lt;&gt;1),PMT(F57,12*años-B57+gracia,-K57),0)</f>
        <v>19.168720484415225</v>
      </c>
      <c r="H58" s="31">
        <f>IF(AND(12*años+gracia-B57&gt;0,$L$2&lt;&gt;1),K57*F58,0)</f>
        <v>12.838755765415348</v>
      </c>
      <c r="I58" s="31">
        <f>IF(AND(12*años+gracia-B57&gt;0,$L$2&lt;&gt;1),G58-H58,0)</f>
        <v>6.3299647189998769</v>
      </c>
      <c r="J58" s="62"/>
      <c r="K58" s="61">
        <f t="shared" si="13"/>
        <v>3915.409886208241</v>
      </c>
      <c r="L58" s="61">
        <f>L57*(1+$J$17)^(1/12)</f>
        <v>4750.5886382897979</v>
      </c>
      <c r="M58" s="31">
        <f t="shared" si="14"/>
        <v>12</v>
      </c>
      <c r="N58" s="31">
        <f t="shared" si="15"/>
        <v>0</v>
      </c>
      <c r="O58" s="31">
        <f t="shared" si="16"/>
        <v>-2.25</v>
      </c>
      <c r="P58" s="62"/>
      <c r="Q58" s="31">
        <f t="shared" si="9"/>
        <v>-9.4187204844152248</v>
      </c>
      <c r="R58" s="31">
        <f>SUM($Q$36:Q58)</f>
        <v>-802.61185065713414</v>
      </c>
      <c r="S58" s="83">
        <f>IF($L$2&lt;&gt;1,-(R58-$R$36)/B58*12/$Q$36,0)</f>
        <v>-0.18982977126802533</v>
      </c>
      <c r="T58" s="31">
        <f>SUMPRODUCT($Q$36:Q58,$E$36:E58)/E58-R58</f>
        <v>-63.246651660198722</v>
      </c>
      <c r="U58" s="31">
        <f t="shared" si="10"/>
        <v>32.566901424423122</v>
      </c>
      <c r="V58" s="31">
        <f t="shared" si="11"/>
        <v>627.9669014244231</v>
      </c>
      <c r="W58" s="80" cm="1">
        <f t="array" ref="W58">IF($L$2&lt;&gt;1,IRR(IF(ROW($Q$36:Q58)=ROW(Q58),Q58+L58-K58,$Q$36:Q58),W57/12)*12,0)</f>
        <v>2.5057331737361466E-2</v>
      </c>
      <c r="X58" s="83">
        <f>(1+W58/12)^(B58)-1</f>
        <v>4.6959810640589295E-2</v>
      </c>
    </row>
    <row r="59" spans="2:25" x14ac:dyDescent="0.25">
      <c r="B59">
        <v>23</v>
      </c>
      <c r="C59" s="81">
        <f t="shared" si="7"/>
        <v>1.9166666666666667</v>
      </c>
      <c r="D59" s="105">
        <f t="shared" si="8"/>
        <v>3.9789301544717048E-3</v>
      </c>
      <c r="E59" s="106">
        <f t="shared" si="12"/>
        <v>0.91271298878899054</v>
      </c>
      <c r="F59" s="60">
        <f>rate</f>
        <v>3.2737397821989145E-3</v>
      </c>
      <c r="G59" s="31">
        <f>IF(AND(B58&gt;=gracia,12*años+gracia-B58&gt;0,$L$2&lt;&gt;1),PMT(F58,12*años-B58+gracia,-K58),0)</f>
        <v>19.168720484415225</v>
      </c>
      <c r="H59" s="31">
        <f>IF(AND(12*años+gracia-B58&gt;0,$L$2&lt;&gt;1),K58*F59,0)</f>
        <v>12.818033108094843</v>
      </c>
      <c r="I59" s="31">
        <f>IF(AND(12*años+gracia-B58&gt;0,$L$2&lt;&gt;1),G59-H59,0)</f>
        <v>6.3506873763203817</v>
      </c>
      <c r="J59" s="62"/>
      <c r="K59" s="61">
        <f t="shared" si="13"/>
        <v>3909.0591988319206</v>
      </c>
      <c r="L59" s="61">
        <f>L58*(1+$J$17)^(1/12)</f>
        <v>4762.3048714490615</v>
      </c>
      <c r="M59" s="31">
        <f t="shared" si="14"/>
        <v>12</v>
      </c>
      <c r="N59" s="31">
        <f t="shared" si="15"/>
        <v>0</v>
      </c>
      <c r="O59" s="31">
        <f t="shared" si="16"/>
        <v>-2.25</v>
      </c>
      <c r="P59" s="62"/>
      <c r="Q59" s="31">
        <f t="shared" si="9"/>
        <v>-9.4187204844152248</v>
      </c>
      <c r="R59" s="31">
        <f>SUM($Q$36:Q59)</f>
        <v>-812.03057114154933</v>
      </c>
      <c r="S59" s="83">
        <f>IF($L$2&lt;&gt;1,-(R59-$R$36)/B59*12/$Q$36,0)</f>
        <v>-0.18982977126802533</v>
      </c>
      <c r="T59" s="31">
        <f>SUMPRODUCT($Q$36:Q59,$E$36:E59)/E59-R59</f>
        <v>-66.69184216457495</v>
      </c>
      <c r="U59" s="31">
        <f t="shared" si="10"/>
        <v>41.215101475591837</v>
      </c>
      <c r="V59" s="31">
        <f t="shared" si="11"/>
        <v>636.61510147559181</v>
      </c>
      <c r="W59" s="80" cm="1">
        <f t="array" ref="W59">IF($L$2&lt;&gt;1,IRR(IF(ROW($Q$36:Q59)=ROW(Q59),Q59+L59-K59,$Q$36:Q59),W58/12)*12,0)</f>
        <v>2.9970615841018677E-2</v>
      </c>
      <c r="X59" s="83">
        <f>(1+W59/12)^(B59)-1</f>
        <v>5.9049772781855081E-2</v>
      </c>
    </row>
    <row r="60" spans="2:25" x14ac:dyDescent="0.25">
      <c r="B60">
        <v>24</v>
      </c>
      <c r="C60" s="81">
        <f t="shared" si="7"/>
        <v>2</v>
      </c>
      <c r="D60" s="105">
        <f t="shared" si="8"/>
        <v>3.9789301544717048E-3</v>
      </c>
      <c r="E60" s="106">
        <f t="shared" si="12"/>
        <v>0.90909576025520866</v>
      </c>
      <c r="F60" s="60">
        <f>rate</f>
        <v>3.2737397821989145E-3</v>
      </c>
      <c r="G60" s="31">
        <f>IF(AND(B59&gt;=gracia,12*años+gracia-B59&gt;0,$L$2&lt;&gt;1),PMT(F59,12*años-B59+gracia,-K59),0)</f>
        <v>19.168720484415225</v>
      </c>
      <c r="H60" s="31">
        <f>IF(AND(12*años+gracia-B59&gt;0,$L$2&lt;&gt;1),K59*F60,0)</f>
        <v>12.797242610186675</v>
      </c>
      <c r="I60" s="31">
        <f>IF(AND(12*años+gracia-B59&gt;0,$L$2&lt;&gt;1),G60-H60,0)</f>
        <v>6.3714778742285496</v>
      </c>
      <c r="J60" s="62"/>
      <c r="K60" s="61">
        <f t="shared" si="13"/>
        <v>3902.6877209576919</v>
      </c>
      <c r="L60" s="61">
        <f>L59*(1+$J$17)^(1/12)</f>
        <v>4774.0500000000111</v>
      </c>
      <c r="M60" s="31">
        <f t="shared" si="14"/>
        <v>12</v>
      </c>
      <c r="N60" s="31">
        <f t="shared" si="15"/>
        <v>0</v>
      </c>
      <c r="O60" s="31">
        <f t="shared" si="16"/>
        <v>-2.25</v>
      </c>
      <c r="P60" s="62"/>
      <c r="Q60" s="31">
        <f t="shared" si="9"/>
        <v>-9.4187204844152248</v>
      </c>
      <c r="R60" s="31">
        <f>SUM($Q$36:Q60)</f>
        <v>-821.44929162596452</v>
      </c>
      <c r="S60" s="83">
        <f>IF($L$2&lt;&gt;1,-(R60-$R$36)/B60*12/$Q$36,0)</f>
        <v>-0.18982977126802533</v>
      </c>
      <c r="T60" s="31">
        <f>SUMPRODUCT($Q$36:Q60,$E$36:E60)/E60-R60</f>
        <v>-70.188217272288853</v>
      </c>
      <c r="U60" s="31">
        <f t="shared" si="10"/>
        <v>49.912987416354554</v>
      </c>
      <c r="V60" s="31">
        <f t="shared" si="11"/>
        <v>645.31298741635453</v>
      </c>
      <c r="W60" s="80" cm="1">
        <f t="array" ref="W60">IF($L$2&lt;&gt;1,IRR(IF(ROW($Q$36:Q60)=ROW(Q60),Q60+L60-K60,$Q$36:Q60),W59/12)*12,0)</f>
        <v>3.4372678533507006E-2</v>
      </c>
      <c r="X60" s="83">
        <f>(1+W60/12)^(B60)-1</f>
        <v>7.1058153085583609E-2</v>
      </c>
    </row>
    <row r="61" spans="2:25" x14ac:dyDescent="0.25">
      <c r="B61">
        <v>25</v>
      </c>
      <c r="C61" s="81">
        <f t="shared" si="7"/>
        <v>2.0833333333333335</v>
      </c>
      <c r="D61" s="105">
        <f t="shared" si="8"/>
        <v>3.9789301544717048E-3</v>
      </c>
      <c r="E61" s="106">
        <f t="shared" si="12"/>
        <v>0.90549286738052925</v>
      </c>
      <c r="F61" s="60">
        <f>rate</f>
        <v>3.2737397821989145E-3</v>
      </c>
      <c r="G61" s="31">
        <f>IF(AND(B60&gt;=gracia,12*años+gracia-B60&gt;0,$L$2&lt;&gt;1),PMT(F60,12*años-B60+gracia,-K60),0)</f>
        <v>19.168720484415225</v>
      </c>
      <c r="H61" s="31">
        <f>IF(AND(12*años+gracia-B60&gt;0,$L$2&lt;&gt;1),K60*F61,0)</f>
        <v>12.776384049598413</v>
      </c>
      <c r="I61" s="31">
        <f>IF(AND(12*años+gracia-B60&gt;0,$L$2&lt;&gt;1),G61-H61,0)</f>
        <v>6.3923364348168121</v>
      </c>
      <c r="J61" s="62"/>
      <c r="K61" s="61">
        <f t="shared" si="13"/>
        <v>3896.2953845228749</v>
      </c>
      <c r="L61" s="61">
        <f>L60*(1+$J$17)^(1/12)</f>
        <v>4785.824095206478</v>
      </c>
      <c r="M61" s="31">
        <f t="shared" si="14"/>
        <v>12</v>
      </c>
      <c r="N61" s="31">
        <f t="shared" si="15"/>
        <v>0</v>
      </c>
      <c r="O61" s="31">
        <f t="shared" si="16"/>
        <v>-2.25</v>
      </c>
      <c r="P61" s="62"/>
      <c r="Q61" s="31">
        <f t="shared" si="9"/>
        <v>-9.4187204844152248</v>
      </c>
      <c r="R61" s="31">
        <f>SUM($Q$36:Q61)</f>
        <v>-830.86801211037971</v>
      </c>
      <c r="S61" s="83">
        <f>IF($L$2&lt;&gt;1,-(R61-$R$36)/B61*12/$Q$36,0)</f>
        <v>-0.18982977126802533</v>
      </c>
      <c r="T61" s="31">
        <f>SUMPRODUCT($Q$36:Q61,$E$36:E61)/E61-R61</f>
        <v>-73.735980643302128</v>
      </c>
      <c r="U61" s="31">
        <f t="shared" si="10"/>
        <v>58.660698573223272</v>
      </c>
      <c r="V61" s="31">
        <f t="shared" si="11"/>
        <v>654.06069857322325</v>
      </c>
      <c r="W61" s="80" cm="1">
        <f t="array" ref="W61">IF($L$2&lt;&gt;1,IRR(IF(ROW($Q$36:Q61)=ROW(Q61),Q61+L61-K61,$Q$36:Q61),W60/12)*12,0)</f>
        <v>3.8328267987481901E-2</v>
      </c>
      <c r="X61" s="83">
        <f>(1+W61/12)^(B61)-1</f>
        <v>8.2987371151699518E-2</v>
      </c>
    </row>
    <row r="62" spans="2:25" x14ac:dyDescent="0.25">
      <c r="B62">
        <v>26</v>
      </c>
      <c r="C62" s="81">
        <f t="shared" si="7"/>
        <v>2.1666666666666665</v>
      </c>
      <c r="D62" s="105">
        <f t="shared" si="8"/>
        <v>3.9789301544717048E-3</v>
      </c>
      <c r="E62" s="106">
        <f t="shared" si="12"/>
        <v>0.9019042533504269</v>
      </c>
      <c r="F62" s="60">
        <f>rate</f>
        <v>3.2737397821989145E-3</v>
      </c>
      <c r="G62" s="31">
        <f>IF(AND(B61&gt;=gracia,12*años+gracia-B61&gt;0,$L$2&lt;&gt;1),PMT(F61,12*años-B61+gracia,-K61),0)</f>
        <v>19.168720484415225</v>
      </c>
      <c r="H62" s="31">
        <f>IF(AND(12*años+gracia-B61&gt;0,$L$2&lt;&gt;1),K61*F62,0)</f>
        <v>12.755457203510552</v>
      </c>
      <c r="I62" s="31">
        <f>IF(AND(12*años+gracia-B61&gt;0,$L$2&lt;&gt;1),G62-H62,0)</f>
        <v>6.4132632809046726</v>
      </c>
      <c r="J62" s="62"/>
      <c r="K62" s="61">
        <f t="shared" si="13"/>
        <v>3889.8821212419703</v>
      </c>
      <c r="L62" s="61">
        <f>L61*(1+$J$17)^(1/12)</f>
        <v>4797.6272285080486</v>
      </c>
      <c r="M62" s="31">
        <f t="shared" si="14"/>
        <v>12</v>
      </c>
      <c r="N62" s="31">
        <f t="shared" si="15"/>
        <v>0</v>
      </c>
      <c r="O62" s="31">
        <f t="shared" si="16"/>
        <v>-2.25</v>
      </c>
      <c r="P62" s="62"/>
      <c r="Q62" s="31">
        <f t="shared" si="9"/>
        <v>-9.4187204844152248</v>
      </c>
      <c r="R62" s="31">
        <f>SUM($Q$36:Q62)</f>
        <v>-840.2867325947949</v>
      </c>
      <c r="S62" s="83">
        <f>IF($L$2&lt;&gt;1,-(R62-$R$36)/B62*12/$Q$36,0)</f>
        <v>-0.18982977126802533</v>
      </c>
      <c r="T62" s="31">
        <f>SUMPRODUCT($Q$36:Q62,$E$36:E62)/E62-R62</f>
        <v>-77.335336747925339</v>
      </c>
      <c r="U62" s="31">
        <f t="shared" si="10"/>
        <v>67.458374671283309</v>
      </c>
      <c r="V62" s="31">
        <f t="shared" si="11"/>
        <v>662.85837467128329</v>
      </c>
      <c r="W62" s="80" cm="1">
        <f t="array" ref="W62">IF($L$2&lt;&gt;1,IRR(IF(ROW($Q$36:Q62)=ROW(Q62),Q62+L62-K62,$Q$36:Q62),W61/12)*12,0)</f>
        <v>4.1892035098690883E-2</v>
      </c>
      <c r="X62" s="83">
        <f>(1+W62/12)^(B62)-1</f>
        <v>9.4839756530009867E-2</v>
      </c>
    </row>
    <row r="63" spans="2:25" x14ac:dyDescent="0.25">
      <c r="B63">
        <v>27</v>
      </c>
      <c r="C63" s="81">
        <f t="shared" si="7"/>
        <v>2.25</v>
      </c>
      <c r="D63" s="105">
        <f t="shared" si="8"/>
        <v>3.9789301544717048E-3</v>
      </c>
      <c r="E63" s="106">
        <f t="shared" si="12"/>
        <v>0.89832986157554162</v>
      </c>
      <c r="F63" s="60">
        <f>rate</f>
        <v>3.2737397821989145E-3</v>
      </c>
      <c r="G63" s="31">
        <f>IF(AND(B62&gt;=gracia,12*años+gracia-B62&gt;0,$L$2&lt;&gt;1),PMT(F62,12*años-B62+gracia,-K62),0)</f>
        <v>19.168720484415225</v>
      </c>
      <c r="H63" s="31">
        <f>IF(AND(12*años+gracia-B62&gt;0,$L$2&lt;&gt;1),K62*F63,0)</f>
        <v>12.734461848374139</v>
      </c>
      <c r="I63" s="31">
        <f>IF(AND(12*años+gracia-B62&gt;0,$L$2&lt;&gt;1),G63-H63,0)</f>
        <v>6.4342586360410863</v>
      </c>
      <c r="J63" s="62"/>
      <c r="K63" s="61">
        <f t="shared" si="13"/>
        <v>3883.447862605929</v>
      </c>
      <c r="L63" s="61">
        <f>L62*(1+$J$17)^(1/12)</f>
        <v>4809.4594715204994</v>
      </c>
      <c r="M63" s="31">
        <f t="shared" si="14"/>
        <v>12</v>
      </c>
      <c r="N63" s="31">
        <f t="shared" si="15"/>
        <v>0</v>
      </c>
      <c r="O63" s="31">
        <f t="shared" si="16"/>
        <v>-2.25</v>
      </c>
      <c r="P63" s="62"/>
      <c r="Q63" s="31">
        <f t="shared" si="9"/>
        <v>-9.4187204844152248</v>
      </c>
      <c r="R63" s="31">
        <f>SUM($Q$36:Q63)</f>
        <v>-849.70545307921009</v>
      </c>
      <c r="S63" s="83">
        <f>IF($L$2&lt;&gt;1,-(R63-$R$36)/B63*12/$Q$36,0)</f>
        <v>-0.18982977126802533</v>
      </c>
      <c r="T63" s="31">
        <f>SUMPRODUCT($Q$36:Q63,$E$36:E63)/E63-R63</f>
        <v>-80.986490870041848</v>
      </c>
      <c r="U63" s="31">
        <f t="shared" si="10"/>
        <v>76.306155835360187</v>
      </c>
      <c r="V63" s="31">
        <f t="shared" si="11"/>
        <v>671.70615583536016</v>
      </c>
      <c r="W63" s="80" cm="1">
        <f t="array" ref="W63">IF($L$2&lt;&gt;1,IRR(IF(ROW($Q$36:Q63)=ROW(Q63),Q63+L63-K63,$Q$36:Q63),W62/12)*12,0)</f>
        <v>4.5110405985531621E-2</v>
      </c>
      <c r="X63" s="83">
        <f>(1+W63/12)^(B63)-1</f>
        <v>0.10661755337105272</v>
      </c>
    </row>
    <row r="64" spans="2:25" x14ac:dyDescent="0.25">
      <c r="B64">
        <v>28</v>
      </c>
      <c r="C64" s="81">
        <f t="shared" si="7"/>
        <v>2.3333333333333335</v>
      </c>
      <c r="D64" s="105">
        <f t="shared" si="8"/>
        <v>3.9789301544717048E-3</v>
      </c>
      <c r="E64" s="106">
        <f t="shared" si="12"/>
        <v>0.89476963569078594</v>
      </c>
      <c r="F64" s="60">
        <f>rate</f>
        <v>3.2737397821989145E-3</v>
      </c>
      <c r="G64" s="31">
        <f>IF(AND(B63&gt;=gracia,12*años+gracia-B63&gt;0,$L$2&lt;&gt;1),PMT(F63,12*años-B63+gracia,-K63),0)</f>
        <v>19.168720484415225</v>
      </c>
      <c r="H64" s="31">
        <f>IF(AND(12*años+gracia-B63&gt;0,$L$2&lt;&gt;1),K63*F64,0)</f>
        <v>12.713397759908373</v>
      </c>
      <c r="I64" s="31">
        <f>IF(AND(12*años+gracia-B63&gt;0,$L$2&lt;&gt;1),G64-H64,0)</f>
        <v>6.4553227245068516</v>
      </c>
      <c r="J64" s="62"/>
      <c r="K64" s="61">
        <f t="shared" si="13"/>
        <v>3876.9925398814221</v>
      </c>
      <c r="L64" s="61">
        <f>L63*(1+$J$17)^(1/12)</f>
        <v>4821.3208960362299</v>
      </c>
      <c r="M64" s="31">
        <f t="shared" si="14"/>
        <v>12</v>
      </c>
      <c r="N64" s="31">
        <f t="shared" si="15"/>
        <v>0</v>
      </c>
      <c r="O64" s="31">
        <f t="shared" si="16"/>
        <v>-2.25</v>
      </c>
      <c r="P64" s="62"/>
      <c r="Q64" s="31">
        <f t="shared" si="9"/>
        <v>-9.4187204844152248</v>
      </c>
      <c r="R64" s="31">
        <f>SUM($Q$36:Q64)</f>
        <v>-859.12417356362528</v>
      </c>
      <c r="S64" s="83">
        <f>IF($L$2&lt;&gt;1,-(R64-$R$36)/B64*12/$Q$36,0)</f>
        <v>-0.18982977126802533</v>
      </c>
      <c r="T64" s="31">
        <f>SUMPRODUCT($Q$36:Q64,$E$36:E64)/E64-R64</f>
        <v>-84.689649110345499</v>
      </c>
      <c r="U64" s="31">
        <f t="shared" si="10"/>
        <v>85.204182591182871</v>
      </c>
      <c r="V64" s="31">
        <f t="shared" si="11"/>
        <v>680.60418259118285</v>
      </c>
      <c r="W64" s="80" cm="1">
        <f t="array" ref="W64">IF($L$2&lt;&gt;1,IRR(IF(ROW($Q$36:Q64)=ROW(Q64),Q64+L64-K64,$Q$36:Q64),W63/12)*12,0)</f>
        <v>4.8023054567465806E-2</v>
      </c>
      <c r="X64" s="83">
        <f>(1+W64/12)^(B64)-1</f>
        <v>0.11832292551453727</v>
      </c>
    </row>
    <row r="65" spans="2:24" x14ac:dyDescent="0.25">
      <c r="B65">
        <v>29</v>
      </c>
      <c r="C65" s="81">
        <f t="shared" si="7"/>
        <v>2.4166666666666665</v>
      </c>
      <c r="D65" s="105">
        <f t="shared" si="8"/>
        <v>3.9789301544717048E-3</v>
      </c>
      <c r="E65" s="106">
        <f t="shared" si="12"/>
        <v>0.89122351955445633</v>
      </c>
      <c r="F65" s="60">
        <f>rate</f>
        <v>3.2737397821989145E-3</v>
      </c>
      <c r="G65" s="31">
        <f>IF(AND(B64&gt;=gracia,12*años+gracia-B64&gt;0,$L$2&lt;&gt;1),PMT(F64,12*años-B64+gracia,-K64),0)</f>
        <v>19.168720484415225</v>
      </c>
      <c r="H65" s="31">
        <f>IF(AND(12*años+gracia-B64&gt;0,$L$2&lt;&gt;1),K64*F65,0)</f>
        <v>12.692264713098224</v>
      </c>
      <c r="I65" s="31">
        <f>IF(AND(12*años+gracia-B64&gt;0,$L$2&lt;&gt;1),G65-H65,0)</f>
        <v>6.476455771317001</v>
      </c>
      <c r="J65" s="62"/>
      <c r="K65" s="61">
        <f t="shared" si="13"/>
        <v>3870.5160841101051</v>
      </c>
      <c r="L65" s="61">
        <f>L64*(1+$J$17)^(1/12)</f>
        <v>4833.2115740247</v>
      </c>
      <c r="M65" s="31">
        <f t="shared" si="14"/>
        <v>12</v>
      </c>
      <c r="N65" s="31">
        <f t="shared" si="15"/>
        <v>0</v>
      </c>
      <c r="O65" s="31">
        <f t="shared" si="16"/>
        <v>-2.25</v>
      </c>
      <c r="P65" s="62"/>
      <c r="Q65" s="31">
        <f t="shared" si="9"/>
        <v>-9.4187204844152248</v>
      </c>
      <c r="R65" s="31">
        <f>SUM($Q$36:Q65)</f>
        <v>-868.54289404804047</v>
      </c>
      <c r="S65" s="83">
        <f>IF($L$2&lt;&gt;1,-(R65-$R$36)/B65*12/$Q$36,0)</f>
        <v>-0.18982977126802533</v>
      </c>
      <c r="T65" s="31">
        <f>SUMPRODUCT($Q$36:Q65,$E$36:E65)/E65-R65</f>
        <v>-88.445018389590132</v>
      </c>
      <c r="U65" s="31">
        <f t="shared" si="10"/>
        <v>94.152595866554293</v>
      </c>
      <c r="V65" s="31">
        <f t="shared" si="11"/>
        <v>689.55259586655427</v>
      </c>
      <c r="W65" s="80" cm="1">
        <f t="array" ref="W65">IF($L$2&lt;&gt;1,IRR(IF(ROW($Q$36:Q65)=ROW(Q65),Q65+L65-K65,$Q$36:Q65),W64/12)*12,0)</f>
        <v>5.0664070492856261E-2</v>
      </c>
      <c r="X65" s="83">
        <f>(1+W65/12)^(B65)-1</f>
        <v>0.12995795969791746</v>
      </c>
    </row>
    <row r="66" spans="2:24" x14ac:dyDescent="0.25">
      <c r="B66">
        <v>30</v>
      </c>
      <c r="C66" s="81">
        <f t="shared" si="7"/>
        <v>2.5</v>
      </c>
      <c r="D66" s="105">
        <f t="shared" si="8"/>
        <v>3.9789301544717048E-3</v>
      </c>
      <c r="E66" s="106">
        <f t="shared" si="12"/>
        <v>0.88769145724734788</v>
      </c>
      <c r="F66" s="60">
        <f>rate</f>
        <v>3.2737397821989145E-3</v>
      </c>
      <c r="G66" s="31">
        <f>IF(AND(B65&gt;=gracia,12*años+gracia-B65&gt;0,$L$2&lt;&gt;1),PMT(F65,12*años-B65+gracia,-K65),0)</f>
        <v>19.168720484415225</v>
      </c>
      <c r="H66" s="31">
        <f>IF(AND(12*años+gracia-B65&gt;0,$L$2&lt;&gt;1),K65*F66,0)</f>
        <v>12.671062482192012</v>
      </c>
      <c r="I66" s="31">
        <f>IF(AND(12*años+gracia-B65&gt;0,$L$2&lt;&gt;1),G66-H66,0)</f>
        <v>6.4976580022232131</v>
      </c>
      <c r="J66" s="62"/>
      <c r="K66" s="61">
        <f t="shared" si="13"/>
        <v>3864.0184261078821</v>
      </c>
      <c r="L66" s="61">
        <f>L65*(1+$J$17)^(1/12)</f>
        <v>4845.1315776328656</v>
      </c>
      <c r="M66" s="31">
        <f t="shared" si="14"/>
        <v>12</v>
      </c>
      <c r="N66" s="31">
        <f t="shared" si="15"/>
        <v>0</v>
      </c>
      <c r="O66" s="31">
        <f t="shared" si="16"/>
        <v>-2.25</v>
      </c>
      <c r="P66" s="62"/>
      <c r="Q66" s="31">
        <f t="shared" si="9"/>
        <v>-9.4187204844152248</v>
      </c>
      <c r="R66" s="31">
        <f>SUM($Q$36:Q66)</f>
        <v>-877.96161453245566</v>
      </c>
      <c r="S66" s="83">
        <f>IF($L$2&lt;&gt;1,-(R66-$R$36)/B66*12/$Q$36,0)</f>
        <v>-0.18982977126802533</v>
      </c>
      <c r="T66" s="31">
        <f>SUMPRODUCT($Q$36:Q66,$E$36:E66)/E66-R66</f>
        <v>-92.252806451853189</v>
      </c>
      <c r="U66" s="31">
        <f t="shared" si="10"/>
        <v>103.15153699252824</v>
      </c>
      <c r="V66" s="31">
        <f t="shared" si="11"/>
        <v>698.55153699252821</v>
      </c>
      <c r="W66" s="80" cm="1">
        <f t="array" ref="W66">IF($L$2&lt;&gt;1,IRR(IF(ROW($Q$36:Q66)=ROW(Q66),Q66+L66-K66,$Q$36:Q66),W65/12)*12,0)</f>
        <v>5.3062894400278005E-2</v>
      </c>
      <c r="X66" s="83">
        <f>(1+W66/12)^(B66)-1</f>
        <v>0.14152467007399805</v>
      </c>
    </row>
    <row r="67" spans="2:24" x14ac:dyDescent="0.25">
      <c r="B67" s="33">
        <v>31</v>
      </c>
      <c r="C67" s="81">
        <f t="shared" si="7"/>
        <v>2.5833333333333335</v>
      </c>
      <c r="D67" s="105">
        <f t="shared" si="8"/>
        <v>3.9789301544717048E-3</v>
      </c>
      <c r="E67" s="106">
        <f t="shared" si="12"/>
        <v>0.88417339307187259</v>
      </c>
      <c r="F67" s="60">
        <f>rate</f>
        <v>3.2737397821989145E-3</v>
      </c>
      <c r="G67" s="31">
        <f>IF(AND(B66&gt;=gracia,12*años+gracia-B66&gt;0,$L$2&lt;&gt;1),PMT(F66,12*años-B66+gracia,-K66),0)</f>
        <v>19.168720484415225</v>
      </c>
      <c r="H67" s="31">
        <f>IF(AND(12*años+gracia-B66&gt;0,$L$2&lt;&gt;1),K66*F67,0)</f>
        <v>12.64979084069901</v>
      </c>
      <c r="I67" s="31">
        <f>IF(AND(12*años+gracia-B66&gt;0,$L$2&lt;&gt;1),G67-H67,0)</f>
        <v>6.5189296437162145</v>
      </c>
      <c r="J67" s="62"/>
      <c r="K67" s="61">
        <f t="shared" si="13"/>
        <v>3857.499496464166</v>
      </c>
      <c r="L67" s="61">
        <f>L66*(1+$J$17)^(1/12)</f>
        <v>4857.0809791856154</v>
      </c>
      <c r="M67" s="31">
        <f t="shared" si="14"/>
        <v>12</v>
      </c>
      <c r="N67" s="31">
        <f t="shared" si="15"/>
        <v>0</v>
      </c>
      <c r="O67" s="31">
        <f t="shared" si="16"/>
        <v>-2.25</v>
      </c>
      <c r="P67" s="62"/>
      <c r="Q67" s="31">
        <f t="shared" si="9"/>
        <v>-9.4187204844152248</v>
      </c>
      <c r="R67" s="31">
        <f>SUM($Q$36:Q67)</f>
        <v>-887.38033501687084</v>
      </c>
      <c r="S67" s="83">
        <f>IF($L$2&lt;&gt;1,-(R67-$R$36)/B67*12/$Q$36,0)</f>
        <v>-0.18982977126802533</v>
      </c>
      <c r="T67" s="31">
        <f>SUMPRODUCT($Q$36:Q67,$E$36:E67)/E67-R67</f>
        <v>-96.113221867811035</v>
      </c>
      <c r="U67" s="31">
        <f t="shared" si="10"/>
        <v>112.20114770457894</v>
      </c>
      <c r="V67" s="31">
        <f t="shared" si="11"/>
        <v>707.60114770457892</v>
      </c>
      <c r="W67" s="80" cm="1">
        <f t="array" ref="W67">IF($L$2&lt;&gt;1,IRR(IF(ROW($Q$36:Q67)=ROW(Q67),Q67+L67-K67,$Q$36:Q67),W66/12)*12,0)</f>
        <v>5.5245072033342169E-2</v>
      </c>
      <c r="X67" s="83">
        <f>(1+W67/12)^(B67)-1</f>
        <v>0.15302500166603683</v>
      </c>
    </row>
    <row r="68" spans="2:24" x14ac:dyDescent="0.25">
      <c r="B68" s="33">
        <v>32</v>
      </c>
      <c r="C68" s="81">
        <f t="shared" si="7"/>
        <v>2.6666666666666665</v>
      </c>
      <c r="D68" s="105">
        <f t="shared" si="8"/>
        <v>3.9789301544717048E-3</v>
      </c>
      <c r="E68" s="106">
        <f t="shared" si="12"/>
        <v>0.88066927155118102</v>
      </c>
      <c r="F68" s="60">
        <f>rate</f>
        <v>3.2737397821989145E-3</v>
      </c>
      <c r="G68" s="31">
        <f>IF(AND(B67&gt;=gracia,12*años+gracia-B67&gt;0,$L$2&lt;&gt;1),PMT(F67,12*años-B67+gracia,-K67),0)</f>
        <v>19.168720484415225</v>
      </c>
      <c r="H68" s="31">
        <f>IF(AND(12*años+gracia-B67&gt;0,$L$2&lt;&gt;1),K67*F68,0)</f>
        <v>12.62844956138702</v>
      </c>
      <c r="I68" s="31">
        <f>IF(AND(12*años+gracia-B67&gt;0,$L$2&lt;&gt;1),G68-H68,0)</f>
        <v>6.5402709230282046</v>
      </c>
      <c r="J68" s="62"/>
      <c r="K68" s="61">
        <f t="shared" si="13"/>
        <v>3850.9592255411376</v>
      </c>
      <c r="L68" s="61">
        <f>L67*(1+$J$17)^(1/12)</f>
        <v>4869.0598511862117</v>
      </c>
      <c r="M68" s="31">
        <f t="shared" si="14"/>
        <v>12</v>
      </c>
      <c r="N68" s="31">
        <f t="shared" si="15"/>
        <v>0</v>
      </c>
      <c r="O68" s="31">
        <f t="shared" si="16"/>
        <v>-2.25</v>
      </c>
      <c r="P68" s="62"/>
      <c r="Q68" s="31">
        <f t="shared" si="9"/>
        <v>-9.4187204844152248</v>
      </c>
      <c r="R68" s="31">
        <f>SUM($Q$36:Q68)</f>
        <v>-896.79905550128603</v>
      </c>
      <c r="S68" s="83">
        <f>IF($L$2&lt;&gt;1,-(R68-$R$36)/B68*12/$Q$36,0)</f>
        <v>-0.18982977126802533</v>
      </c>
      <c r="T68" s="31">
        <f>SUMPRODUCT($Q$36:Q68,$E$36:E68)/E68-R68</f>
        <v>-100.02647403802814</v>
      </c>
      <c r="U68" s="31">
        <f t="shared" si="10"/>
        <v>121.30157014378801</v>
      </c>
      <c r="V68" s="31">
        <f t="shared" si="11"/>
        <v>716.70157014378799</v>
      </c>
      <c r="W68" s="80" cm="1">
        <f t="array" ref="W68">IF($L$2&lt;&gt;1,IRR(IF(ROW($Q$36:Q68)=ROW(Q68),Q68+L68-K68,$Q$36:Q68),W67/12)*12,0)</f>
        <v>5.7232867052539937E-2</v>
      </c>
      <c r="X68" s="83">
        <f>(1+W68/12)^(B68)-1</f>
        <v>0.16446083375039278</v>
      </c>
    </row>
    <row r="69" spans="2:24" x14ac:dyDescent="0.25">
      <c r="B69" s="33">
        <v>33</v>
      </c>
      <c r="C69" s="81">
        <f t="shared" si="7"/>
        <v>2.75</v>
      </c>
      <c r="D69" s="105">
        <f t="shared" si="8"/>
        <v>3.9789301544717048E-3</v>
      </c>
      <c r="E69" s="106">
        <f t="shared" si="12"/>
        <v>0.87717903742828718</v>
      </c>
      <c r="F69" s="60">
        <f>rate</f>
        <v>3.2737397821989145E-3</v>
      </c>
      <c r="G69" s="31">
        <f>IF(AND(B68&gt;=gracia,12*años+gracia-B68&gt;0,$L$2&lt;&gt;1),PMT(F68,12*años-B68+gracia,-K68),0)</f>
        <v>19.168720484415225</v>
      </c>
      <c r="H69" s="31">
        <f>IF(AND(12*años+gracia-B68&gt;0,$L$2&lt;&gt;1),K68*F69,0)</f>
        <v>12.607038416279945</v>
      </c>
      <c r="I69" s="31">
        <f>IF(AND(12*años+gracia-B68&gt;0,$L$2&lt;&gt;1),G69-H69,0)</f>
        <v>6.5616820681352799</v>
      </c>
      <c r="J69" s="62"/>
      <c r="K69" s="61">
        <f t="shared" si="13"/>
        <v>3844.3975434730023</v>
      </c>
      <c r="L69" s="61">
        <f>L68*(1+$J$17)^(1/12)</f>
        <v>4881.0682663167299</v>
      </c>
      <c r="M69" s="31">
        <f t="shared" si="14"/>
        <v>12</v>
      </c>
      <c r="N69" s="31">
        <f t="shared" si="15"/>
        <v>0</v>
      </c>
      <c r="O69" s="31">
        <f t="shared" si="16"/>
        <v>-2.25</v>
      </c>
      <c r="P69" s="62"/>
      <c r="Q69" s="31">
        <f t="shared" si="9"/>
        <v>-9.4187204844152248</v>
      </c>
      <c r="R69" s="31">
        <f>SUM($Q$36:Q69)</f>
        <v>-906.21777598570122</v>
      </c>
      <c r="S69" s="83">
        <f>IF($L$2&lt;&gt;1,-(R69-$R$36)/B69*12/$Q$36,0)</f>
        <v>-0.18982977126802533</v>
      </c>
      <c r="T69" s="31">
        <f>SUMPRODUCT($Q$36:Q69,$E$36:E69)/E69-R69</f>
        <v>-103.99277319625935</v>
      </c>
      <c r="U69" s="31">
        <f t="shared" si="10"/>
        <v>130.45294685802673</v>
      </c>
      <c r="V69" s="31">
        <f t="shared" si="11"/>
        <v>725.85294685802671</v>
      </c>
      <c r="W69" s="80" cm="1">
        <f t="array" ref="W69">IF($L$2&lt;&gt;1,IRR(IF(ROW($Q$36:Q69)=ROW(Q69),Q69+L69-K69,$Q$36:Q69),W68/12)*12,0)</f>
        <v>5.904576238682413E-2</v>
      </c>
      <c r="X69" s="83">
        <f>(1+W69/12)^(B69)-1</f>
        <v>0.17583398302273046</v>
      </c>
    </row>
    <row r="70" spans="2:24" x14ac:dyDescent="0.25">
      <c r="B70" s="33">
        <v>34</v>
      </c>
      <c r="C70" s="81">
        <f t="shared" si="7"/>
        <v>2.8333333333333335</v>
      </c>
      <c r="D70" s="105">
        <f t="shared" si="8"/>
        <v>3.9789301544717048E-3</v>
      </c>
      <c r="E70" s="106">
        <f t="shared" si="12"/>
        <v>0.87370263566519757</v>
      </c>
      <c r="F70" s="60">
        <f>rate</f>
        <v>3.2737397821989145E-3</v>
      </c>
      <c r="G70" s="31">
        <f>IF(AND(B69&gt;=gracia,12*años+gracia-B69&gt;0,$L$2&lt;&gt;1),PMT(F69,12*años-B69+gracia,-K69),0)</f>
        <v>19.168720484415225</v>
      </c>
      <c r="H70" s="31">
        <f>IF(AND(12*años+gracia-B69&gt;0,$L$2&lt;&gt;1),K69*F70,0)</f>
        <v>12.585557176655348</v>
      </c>
      <c r="I70" s="31">
        <f>IF(AND(12*años+gracia-B69&gt;0,$L$2&lt;&gt;1),G70-H70,0)</f>
        <v>6.583163307759877</v>
      </c>
      <c r="J70" s="62"/>
      <c r="K70" s="61">
        <f t="shared" si="13"/>
        <v>3837.8143801652423</v>
      </c>
      <c r="L70" s="61">
        <f>L69*(1+$J$17)^(1/12)</f>
        <v>4893.1062974384977</v>
      </c>
      <c r="M70" s="31">
        <f t="shared" si="14"/>
        <v>12</v>
      </c>
      <c r="N70" s="31">
        <f t="shared" si="15"/>
        <v>0</v>
      </c>
      <c r="O70" s="31">
        <f t="shared" si="16"/>
        <v>-2.25</v>
      </c>
      <c r="P70" s="62"/>
      <c r="Q70" s="31">
        <f t="shared" si="9"/>
        <v>-9.4187204844152248</v>
      </c>
      <c r="R70" s="31">
        <f>SUM($Q$36:Q70)</f>
        <v>-915.63649647011641</v>
      </c>
      <c r="S70" s="83">
        <f>IF($L$2&lt;&gt;1,-(R70-$R$36)/B70*12/$Q$36,0)</f>
        <v>-0.18982977126802533</v>
      </c>
      <c r="T70" s="31">
        <f>SUMPRODUCT($Q$36:Q70,$E$36:E70)/E70-R70</f>
        <v>-108.01233041276498</v>
      </c>
      <c r="U70" s="31">
        <f t="shared" si="10"/>
        <v>139.65542080313935</v>
      </c>
      <c r="V70" s="31">
        <f t="shared" si="11"/>
        <v>735.05542080313933</v>
      </c>
      <c r="W70" s="80" cm="1">
        <f t="array" ref="W70">IF($L$2&lt;&gt;1,IRR(IF(ROW($Q$36:Q70)=ROW(Q70),Q70+L70-K70,$Q$36:Q70),W69/12)*12,0)</f>
        <v>6.0700873022678792E-2</v>
      </c>
      <c r="X70" s="83">
        <f>(1+W70/12)^(B70)-1</f>
        <v>0.18714620656524339</v>
      </c>
    </row>
    <row r="71" spans="2:24" x14ac:dyDescent="0.25">
      <c r="B71" s="33">
        <v>35</v>
      </c>
      <c r="C71" s="81">
        <f t="shared" si="7"/>
        <v>2.9166666666666665</v>
      </c>
      <c r="D71" s="105">
        <f t="shared" si="8"/>
        <v>3.9789301544717048E-3</v>
      </c>
      <c r="E71" s="106">
        <f t="shared" si="12"/>
        <v>0.87024001144204299</v>
      </c>
      <c r="F71" s="60">
        <f>rate</f>
        <v>3.2737397821989145E-3</v>
      </c>
      <c r="G71" s="31">
        <f>IF(AND(B70&gt;=gracia,12*años+gracia-B70&gt;0,$L$2&lt;&gt;1),PMT(F70,12*años-B70+gracia,-K70),0)</f>
        <v>19.168720484415225</v>
      </c>
      <c r="H71" s="31">
        <f>IF(AND(12*años+gracia-B70&gt;0,$L$2&lt;&gt;1),K70*F71,0)</f>
        <v>12.564005613042022</v>
      </c>
      <c r="I71" s="31">
        <f>IF(AND(12*años+gracia-B70&gt;0,$L$2&lt;&gt;1),G71-H71,0)</f>
        <v>6.6047148713732025</v>
      </c>
      <c r="J71" s="62"/>
      <c r="K71" s="61">
        <f t="shared" si="13"/>
        <v>3831.209665293869</v>
      </c>
      <c r="L71" s="61">
        <f>L70*(1+$J$17)^(1/12)</f>
        <v>4905.1740175925388</v>
      </c>
      <c r="M71" s="31">
        <f t="shared" si="14"/>
        <v>12</v>
      </c>
      <c r="N71" s="31">
        <f t="shared" si="15"/>
        <v>0</v>
      </c>
      <c r="O71" s="31">
        <f t="shared" si="16"/>
        <v>-2.25</v>
      </c>
      <c r="P71" s="62"/>
      <c r="Q71" s="31">
        <f t="shared" si="9"/>
        <v>-9.4187204844152248</v>
      </c>
      <c r="R71" s="31">
        <f>SUM($Q$36:Q71)</f>
        <v>-925.0552169545316</v>
      </c>
      <c r="S71" s="83">
        <f>IF($L$2&lt;&gt;1,-(R71-$R$36)/B71*12/$Q$36,0)</f>
        <v>-0.18982977126802533</v>
      </c>
      <c r="T71" s="31">
        <f>SUMPRODUCT($Q$36:Q71,$E$36:E71)/E71-R71</f>
        <v>-112.08535759763879</v>
      </c>
      <c r="U71" s="31">
        <f t="shared" si="10"/>
        <v>148.90913534413812</v>
      </c>
      <c r="V71" s="31">
        <f t="shared" si="11"/>
        <v>744.3091353441381</v>
      </c>
      <c r="W71" s="80" cm="1">
        <f t="array" ref="W71">IF($L$2&lt;&gt;1,IRR(IF(ROW($Q$36:Q71)=ROW(Q71),Q71+L71-K71,$Q$36:Q71),W70/12)*12,0)</f>
        <v>6.2213287911155213E-2</v>
      </c>
      <c r="X71" s="83">
        <f>(1+W71/12)^(B71)-1</f>
        <v>0.19839920463029292</v>
      </c>
    </row>
    <row r="72" spans="2:24" x14ac:dyDescent="0.25">
      <c r="B72" s="33">
        <v>36</v>
      </c>
      <c r="C72" s="81">
        <f t="shared" si="7"/>
        <v>3</v>
      </c>
      <c r="D72" s="105">
        <f t="shared" si="8"/>
        <v>3.9789301544717048E-3</v>
      </c>
      <c r="E72" s="106">
        <f t="shared" si="12"/>
        <v>0.86679111015621446</v>
      </c>
      <c r="F72" s="60">
        <f>rate</f>
        <v>3.2737397821989145E-3</v>
      </c>
      <c r="G72" s="31">
        <f>IF(AND(B71&gt;=gracia,12*años+gracia-B71&gt;0,$L$2&lt;&gt;1),PMT(F71,12*años-B71+gracia,-K71),0)</f>
        <v>19.168720484415221</v>
      </c>
      <c r="H72" s="31">
        <f>IF(AND(12*años+gracia-B71&gt;0,$L$2&lt;&gt;1),K71*F72,0)</f>
        <v>12.542383495217527</v>
      </c>
      <c r="I72" s="31">
        <f>IF(AND(12*años+gracia-B71&gt;0,$L$2&lt;&gt;1),G72-H72,0)</f>
        <v>6.6263369891976946</v>
      </c>
      <c r="J72" s="62"/>
      <c r="K72" s="61">
        <f t="shared" si="13"/>
        <v>3824.5833283046713</v>
      </c>
      <c r="L72" s="61">
        <f>L71*(1+$J$17)^(1/12)</f>
        <v>4917.2715000000171</v>
      </c>
      <c r="M72" s="31">
        <f t="shared" si="14"/>
        <v>12</v>
      </c>
      <c r="N72" s="31">
        <f t="shared" si="15"/>
        <v>0</v>
      </c>
      <c r="O72" s="31">
        <f t="shared" si="16"/>
        <v>-2.25</v>
      </c>
      <c r="P72" s="62"/>
      <c r="Q72" s="31">
        <f t="shared" si="9"/>
        <v>-9.4187204844152213</v>
      </c>
      <c r="R72" s="31">
        <f>SUM($Q$36:Q72)</f>
        <v>-934.47393743894679</v>
      </c>
      <c r="S72" s="83">
        <f>IF($L$2&lt;&gt;1,-(R72-$R$36)/B72*12/$Q$36,0)</f>
        <v>-0.18982977126802533</v>
      </c>
      <c r="T72" s="31">
        <f>SUMPRODUCT($Q$36:Q72,$E$36:E72)/E72-R72</f>
        <v>-116.2120675041507</v>
      </c>
      <c r="U72" s="31">
        <f t="shared" si="10"/>
        <v>158.21423425639932</v>
      </c>
      <c r="V72" s="31">
        <f t="shared" si="11"/>
        <v>753.6142342563993</v>
      </c>
      <c r="W72" s="80" cm="1">
        <f t="array" ref="W72">IF($L$2&lt;&gt;1,IRR(IF(ROW($Q$36:Q72)=ROW(Q72),Q72+L72-K72,$Q$36:Q72),W71/12)*12,0)</f>
        <v>6.3596354756070284E-2</v>
      </c>
      <c r="X72" s="83">
        <f>(1+W72/12)^(B72)-1</f>
        <v>0.20959462325502742</v>
      </c>
    </row>
    <row r="73" spans="2:24" x14ac:dyDescent="0.25">
      <c r="B73" s="33">
        <v>37</v>
      </c>
      <c r="C73" s="81">
        <f t="shared" si="7"/>
        <v>3.0833333333333335</v>
      </c>
      <c r="D73" s="105">
        <f t="shared" si="8"/>
        <v>3.9789301544717048E-3</v>
      </c>
      <c r="E73" s="106">
        <f t="shared" si="12"/>
        <v>0.86335587742150166</v>
      </c>
      <c r="F73" s="60">
        <f>rate</f>
        <v>3.2737397821989145E-3</v>
      </c>
      <c r="G73" s="31">
        <f>IF(AND(B72&gt;=gracia,12*años+gracia-B72&gt;0,$L$2&lt;&gt;1),PMT(F72,12*años-B72+gracia,-K72),0)</f>
        <v>19.168720484415225</v>
      </c>
      <c r="H73" s="31">
        <f>IF(AND(12*años+gracia-B72&gt;0,$L$2&lt;&gt;1),K72*F73,0)</f>
        <v>12.520690592205733</v>
      </c>
      <c r="I73" s="31">
        <f>IF(AND(12*años+gracia-B72&gt;0,$L$2&lt;&gt;1),G73-H73,0)</f>
        <v>6.6480298922094914</v>
      </c>
      <c r="J73" s="62"/>
      <c r="K73" s="61">
        <f t="shared" si="13"/>
        <v>3817.9352984124616</v>
      </c>
      <c r="L73" s="61">
        <f>L72*(1+$J$17)^(1/12)</f>
        <v>4929.3988180626775</v>
      </c>
      <c r="M73" s="31">
        <f t="shared" si="14"/>
        <v>12</v>
      </c>
      <c r="N73" s="31">
        <f t="shared" si="15"/>
        <v>0</v>
      </c>
      <c r="O73" s="31">
        <f t="shared" si="16"/>
        <v>-2.25</v>
      </c>
      <c r="P73" s="62"/>
      <c r="Q73" s="31">
        <f t="shared" si="9"/>
        <v>-9.4187204844152248</v>
      </c>
      <c r="R73" s="31">
        <f>SUM($Q$36:Q73)</f>
        <v>-943.89265792336198</v>
      </c>
      <c r="S73" s="83">
        <f>IF($L$2&lt;&gt;1,-(R73-$R$36)/B73*12/$Q$36,0)</f>
        <v>-0.18982977126802533</v>
      </c>
      <c r="T73" s="31">
        <f>SUMPRODUCT($Q$36:Q73,$E$36:E73)/E73-R73</f>
        <v>-120.39267373210021</v>
      </c>
      <c r="U73" s="31">
        <f t="shared" si="10"/>
        <v>167.57086172685376</v>
      </c>
      <c r="V73" s="31">
        <f t="shared" si="11"/>
        <v>762.97086172685374</v>
      </c>
      <c r="W73" s="80" cm="1">
        <f t="array" ref="W73">IF($L$2&lt;&gt;1,IRR(IF(ROW($Q$36:Q73)=ROW(Q73),Q73+L73-K73,$Q$36:Q73),W72/12)*12,0)</f>
        <v>6.4861918478457348E-2</v>
      </c>
      <c r="X73" s="83">
        <f>(1+W73/12)^(B73)-1</f>
        <v>0.22073405671932056</v>
      </c>
    </row>
    <row r="74" spans="2:24" x14ac:dyDescent="0.25">
      <c r="B74" s="33">
        <v>38</v>
      </c>
      <c r="C74" s="81">
        <f t="shared" si="7"/>
        <v>3.1666666666666665</v>
      </c>
      <c r="D74" s="105">
        <f t="shared" si="8"/>
        <v>3.9789301544717048E-3</v>
      </c>
      <c r="E74" s="106">
        <f t="shared" si="12"/>
        <v>0.85993425906723575</v>
      </c>
      <c r="F74" s="60">
        <f>rate</f>
        <v>3.2737397821989145E-3</v>
      </c>
      <c r="G74" s="31">
        <f>IF(AND(B73&gt;=gracia,12*años+gracia-B73&gt;0,$L$2&lt;&gt;1),PMT(F73,12*años-B73+gracia,-K73),0)</f>
        <v>19.168720484415225</v>
      </c>
      <c r="H74" s="31">
        <f>IF(AND(12*años+gracia-B73&gt;0,$L$2&lt;&gt;1),K73*F74,0)</f>
        <v>12.49892667227436</v>
      </c>
      <c r="I74" s="31">
        <f>IF(AND(12*años+gracia-B73&gt;0,$L$2&lt;&gt;1),G74-H74,0)</f>
        <v>6.6697938121408651</v>
      </c>
      <c r="J74" s="62"/>
      <c r="K74" s="61">
        <f t="shared" si="13"/>
        <v>3811.2655046003206</v>
      </c>
      <c r="L74" s="61">
        <f>L73*(1+$J$17)^(1/12)</f>
        <v>4941.5560453632952</v>
      </c>
      <c r="M74" s="31">
        <f t="shared" si="14"/>
        <v>12</v>
      </c>
      <c r="N74" s="31">
        <f t="shared" si="15"/>
        <v>0</v>
      </c>
      <c r="O74" s="31">
        <f t="shared" si="16"/>
        <v>-2.25</v>
      </c>
      <c r="P74" s="62"/>
      <c r="Q74" s="31">
        <f t="shared" si="9"/>
        <v>-9.4187204844152248</v>
      </c>
      <c r="R74" s="31">
        <f>SUM($Q$36:Q74)</f>
        <v>-953.31137840777717</v>
      </c>
      <c r="S74" s="83">
        <f>IF($L$2&lt;&gt;1,-(R74-$R$36)/B74*12/$Q$36,0)</f>
        <v>-0.18982977126802533</v>
      </c>
      <c r="T74" s="31">
        <f>SUMPRODUCT($Q$36:Q74,$E$36:E74)/E74-R74</f>
        <v>-124.62739073118598</v>
      </c>
      <c r="U74" s="31">
        <f t="shared" si="10"/>
        <v>176.97916235519733</v>
      </c>
      <c r="V74" s="31">
        <f t="shared" si="11"/>
        <v>772.37916235519731</v>
      </c>
      <c r="W74" s="80" cm="1">
        <f t="array" ref="W74">IF($L$2&lt;&gt;1,IRR(IF(ROW($Q$36:Q74)=ROW(Q74),Q74+L74-K74,$Q$36:Q74),W73/12)*12,0)</f>
        <v>6.6020521885530314E-2</v>
      </c>
      <c r="X74" s="83">
        <f>(1+W74/12)^(B74)-1</f>
        <v>0.23181904985910928</v>
      </c>
    </row>
    <row r="75" spans="2:24" x14ac:dyDescent="0.25">
      <c r="B75" s="33">
        <v>39</v>
      </c>
      <c r="C75" s="81">
        <f t="shared" si="7"/>
        <v>3.25</v>
      </c>
      <c r="D75" s="105">
        <f t="shared" si="8"/>
        <v>3.9789301544717048E-3</v>
      </c>
      <c r="E75" s="106">
        <f t="shared" si="12"/>
        <v>0.85652620113743494</v>
      </c>
      <c r="F75" s="60">
        <f>rate</f>
        <v>3.2737397821989145E-3</v>
      </c>
      <c r="G75" s="31">
        <f>IF(AND(B74&gt;=gracia,12*años+gracia-B74&gt;0,$L$2&lt;&gt;1),PMT(F74,12*años-B74+gracia,-K74),0)</f>
        <v>19.168720484415218</v>
      </c>
      <c r="H75" s="31">
        <f>IF(AND(12*años+gracia-B74&gt;0,$L$2&lt;&gt;1),K74*F75,0)</f>
        <v>12.47709150293249</v>
      </c>
      <c r="I75" s="31">
        <f>IF(AND(12*años+gracia-B74&gt;0,$L$2&lt;&gt;1),G75-H75,0)</f>
        <v>6.6916289814827277</v>
      </c>
      <c r="J75" s="62"/>
      <c r="K75" s="61">
        <f t="shared" si="13"/>
        <v>3804.573875618838</v>
      </c>
      <c r="L75" s="61">
        <f>L74*(1+$J$17)^(1/12)</f>
        <v>4953.7432556661188</v>
      </c>
      <c r="M75" s="31">
        <f t="shared" si="14"/>
        <v>12</v>
      </c>
      <c r="N75" s="31">
        <f t="shared" si="15"/>
        <v>0</v>
      </c>
      <c r="O75" s="31">
        <f t="shared" si="16"/>
        <v>-2.25</v>
      </c>
      <c r="P75" s="62"/>
      <c r="Q75" s="31">
        <f t="shared" si="9"/>
        <v>-9.4187204844152177</v>
      </c>
      <c r="R75" s="31">
        <f>SUM($Q$36:Q75)</f>
        <v>-962.73009889219236</v>
      </c>
      <c r="S75" s="83">
        <f>IF($L$2&lt;&gt;1,-(R75-$R$36)/B75*12/$Q$36,0)</f>
        <v>-0.18982977126802533</v>
      </c>
      <c r="T75" s="31">
        <f>SUMPRODUCT($Q$36:Q75,$E$36:E75)/E75-R75</f>
        <v>-128.91643380438711</v>
      </c>
      <c r="U75" s="31">
        <f t="shared" si="10"/>
        <v>186.43928115508879</v>
      </c>
      <c r="V75" s="31">
        <f t="shared" si="11"/>
        <v>781.83928115508877</v>
      </c>
      <c r="W75" s="80" cm="1">
        <f t="array" ref="W75">IF($L$2&lt;&gt;1,IRR(IF(ROW($Q$36:Q75)=ROW(Q75),Q75+L75-K75,$Q$36:Q75),W74/12)*12,0)</f>
        <v>6.7081575326612963E-2</v>
      </c>
      <c r="X75" s="83">
        <f>(1+W75/12)^(B75)-1</f>
        <v>0.24285110024552403</v>
      </c>
    </row>
    <row r="76" spans="2:24" x14ac:dyDescent="0.25">
      <c r="B76" s="33">
        <v>40</v>
      </c>
      <c r="C76" s="81">
        <f t="shared" si="7"/>
        <v>3.3333333333333335</v>
      </c>
      <c r="D76" s="105">
        <f t="shared" si="8"/>
        <v>3.9789301544717048E-3</v>
      </c>
      <c r="E76" s="106">
        <f t="shared" si="12"/>
        <v>0.8531316498899536</v>
      </c>
      <c r="F76" s="60">
        <f>rate</f>
        <v>3.2737397821989145E-3</v>
      </c>
      <c r="G76" s="31">
        <f>IF(AND(B75&gt;=gracia,12*años+gracia-B75&gt;0,$L$2&lt;&gt;1),PMT(F75,12*años-B75+gracia,-K75),0)</f>
        <v>19.168720484415225</v>
      </c>
      <c r="H76" s="31">
        <f>IF(AND(12*años+gracia-B75&gt;0,$L$2&lt;&gt;1),K75*F76,0)</f>
        <v>12.455184850928095</v>
      </c>
      <c r="I76" s="31">
        <f>IF(AND(12*años+gracia-B75&gt;0,$L$2&lt;&gt;1),G76-H76,0)</f>
        <v>6.7135356334871297</v>
      </c>
      <c r="J76" s="62"/>
      <c r="K76" s="61">
        <f t="shared" si="13"/>
        <v>3797.8603399853509</v>
      </c>
      <c r="L76" s="61">
        <f>L75*(1+$J$17)^(1/12)</f>
        <v>4965.9605229173212</v>
      </c>
      <c r="M76" s="31">
        <f t="shared" si="14"/>
        <v>12</v>
      </c>
      <c r="N76" s="31">
        <f t="shared" si="15"/>
        <v>0</v>
      </c>
      <c r="O76" s="31">
        <f t="shared" si="16"/>
        <v>-2.25</v>
      </c>
      <c r="P76" s="62"/>
      <c r="Q76" s="31">
        <f t="shared" si="9"/>
        <v>-9.4187204844152248</v>
      </c>
      <c r="R76" s="31">
        <f>SUM($Q$36:Q76)</f>
        <v>-972.14881937660755</v>
      </c>
      <c r="S76" s="83">
        <f>IF($L$2&lt;&gt;1,-(R76-$R$36)/B76*12/$Q$36,0)</f>
        <v>-0.18982977126802533</v>
      </c>
      <c r="T76" s="31">
        <f>SUMPRODUCT($Q$36:Q76,$E$36:E76)/E76-R76</f>
        <v>-133.26001911135802</v>
      </c>
      <c r="U76" s="31">
        <f t="shared" si="10"/>
        <v>195.95136355536306</v>
      </c>
      <c r="V76" s="31">
        <f t="shared" si="11"/>
        <v>791.35136355536304</v>
      </c>
      <c r="W76" s="80" cm="1">
        <f t="array" ref="W76">IF($L$2&lt;&gt;1,IRR(IF(ROW($Q$36:Q76)=ROW(Q76),Q76+L76-K76,$Q$36:Q76),W75/12)*12,0)</f>
        <v>6.8053500764685637E-2</v>
      </c>
      <c r="X76" s="83">
        <f>(1+W76/12)^(B76)-1</f>
        <v>0.25383166023937398</v>
      </c>
    </row>
    <row r="77" spans="2:24" x14ac:dyDescent="0.25">
      <c r="B77" s="33">
        <v>41</v>
      </c>
      <c r="C77" s="81">
        <f t="shared" si="7"/>
        <v>3.4166666666666665</v>
      </c>
      <c r="D77" s="105">
        <f t="shared" si="8"/>
        <v>3.9789301544717048E-3</v>
      </c>
      <c r="E77" s="106">
        <f t="shared" si="12"/>
        <v>0.84975055179563497</v>
      </c>
      <c r="F77" s="60">
        <f>rate</f>
        <v>3.2737397821989145E-3</v>
      </c>
      <c r="G77" s="31">
        <f>IF(AND(B76&gt;=gracia,12*años+gracia-B76&gt;0,$L$2&lt;&gt;1),PMT(F76,12*años-B76+gracia,-K76),0)</f>
        <v>19.168720484415221</v>
      </c>
      <c r="H77" s="31">
        <f>IF(AND(12*años+gracia-B76&gt;0,$L$2&lt;&gt;1),K76*F77,0)</f>
        <v>12.433206482245538</v>
      </c>
      <c r="I77" s="31">
        <f>IF(AND(12*años+gracia-B76&gt;0,$L$2&lt;&gt;1),G77-H77,0)</f>
        <v>6.7355140021696833</v>
      </c>
      <c r="J77" s="62"/>
      <c r="K77" s="61">
        <f t="shared" si="13"/>
        <v>3791.1248259831814</v>
      </c>
      <c r="L77" s="61">
        <f>L76*(1+$J$17)^(1/12)</f>
        <v>4978.2079212454455</v>
      </c>
      <c r="M77" s="31">
        <f t="shared" si="14"/>
        <v>12</v>
      </c>
      <c r="N77" s="31">
        <f t="shared" si="15"/>
        <v>0</v>
      </c>
      <c r="O77" s="31">
        <f t="shared" si="16"/>
        <v>-2.25</v>
      </c>
      <c r="P77" s="62"/>
      <c r="Q77" s="31">
        <f t="shared" si="9"/>
        <v>-9.4187204844152213</v>
      </c>
      <c r="R77" s="31">
        <f>SUM($Q$36:Q77)</f>
        <v>-981.56753986102274</v>
      </c>
      <c r="S77" s="83">
        <f>IF($L$2&lt;&gt;1,-(R77-$R$36)/B77*12/$Q$36,0)</f>
        <v>-0.18982977126802533</v>
      </c>
      <c r="T77" s="31">
        <f>SUMPRODUCT($Q$36:Q77,$E$36:E77)/E77-R77</f>
        <v>-137.65836367183749</v>
      </c>
      <c r="U77" s="31">
        <f t="shared" si="10"/>
        <v>205.51555540124173</v>
      </c>
      <c r="V77" s="31">
        <f t="shared" si="11"/>
        <v>800.9155554012417</v>
      </c>
      <c r="W77" s="80" cm="1">
        <f t="array" ref="W77">IF($L$2&lt;&gt;1,IRR(IF(ROW($Q$36:Q77)=ROW(Q77),Q77+L77-K77,$Q$36:Q77),W76/12)*12,0)</f>
        <v>6.8943854634740731E-2</v>
      </c>
      <c r="X77" s="83">
        <f>(1+W77/12)^(B77)-1</f>
        <v>0.26476213893021794</v>
      </c>
    </row>
    <row r="78" spans="2:24" x14ac:dyDescent="0.25">
      <c r="B78" s="33">
        <v>42</v>
      </c>
      <c r="C78" s="81">
        <f t="shared" si="7"/>
        <v>3.5</v>
      </c>
      <c r="D78" s="105">
        <f t="shared" si="8"/>
        <v>3.9789301544717048E-3</v>
      </c>
      <c r="E78" s="106">
        <f t="shared" si="12"/>
        <v>0.84638285353746689</v>
      </c>
      <c r="F78" s="60">
        <f>rate</f>
        <v>3.2737397821989145E-3</v>
      </c>
      <c r="G78" s="31">
        <f>IF(AND(B77&gt;=gracia,12*años+gracia-B77&gt;0,$L$2&lt;&gt;1),PMT(F77,12*años-B77+gracia,-K77),0)</f>
        <v>19.168720484415221</v>
      </c>
      <c r="H78" s="31">
        <f>IF(AND(12*años+gracia-B77&gt;0,$L$2&lt;&gt;1),K77*F78,0)</f>
        <v>12.411156162103078</v>
      </c>
      <c r="I78" s="31">
        <f>IF(AND(12*años+gracia-B77&gt;0,$L$2&lt;&gt;1),G78-H78,0)</f>
        <v>6.7575643223121435</v>
      </c>
      <c r="J78" s="62"/>
      <c r="K78" s="61">
        <f t="shared" si="13"/>
        <v>3784.3672616608692</v>
      </c>
      <c r="L78" s="61">
        <f>L77*(1+$J$17)^(1/12)</f>
        <v>4990.4855249618558</v>
      </c>
      <c r="M78" s="31">
        <f t="shared" si="14"/>
        <v>12</v>
      </c>
      <c r="N78" s="31">
        <f t="shared" si="15"/>
        <v>0</v>
      </c>
      <c r="O78" s="31">
        <f t="shared" si="16"/>
        <v>-2.25</v>
      </c>
      <c r="P78" s="62"/>
      <c r="Q78" s="31">
        <f t="shared" si="9"/>
        <v>-9.4187204844152213</v>
      </c>
      <c r="R78" s="31">
        <f>SUM($Q$36:Q78)</f>
        <v>-990.98626034543793</v>
      </c>
      <c r="S78" s="83">
        <f>IF($L$2&lt;&gt;1,-(R78-$R$36)/B78*12/$Q$36,0)</f>
        <v>-0.18982977126802533</v>
      </c>
      <c r="T78" s="31">
        <f>SUMPRODUCT($Q$36:Q78,$E$36:E78)/E78-R78</f>
        <v>-142.11168536907019</v>
      </c>
      <c r="U78" s="31">
        <f t="shared" si="10"/>
        <v>215.13200295554907</v>
      </c>
      <c r="V78" s="31">
        <f t="shared" si="11"/>
        <v>810.53200295554905</v>
      </c>
      <c r="W78" s="80" cm="1">
        <f t="array" ref="W78">IF($L$2&lt;&gt;1,IRR(IF(ROW($Q$36:Q78)=ROW(Q78),Q78+L78-K78,$Q$36:Q78),W77/12)*12,0)</f>
        <v>6.9759433028502293E-2</v>
      </c>
      <c r="X78" s="83">
        <f>(1+W78/12)^(B78)-1</f>
        <v>0.27564390396752891</v>
      </c>
    </row>
    <row r="79" spans="2:24" x14ac:dyDescent="0.25">
      <c r="B79" s="33">
        <v>43</v>
      </c>
      <c r="C79" s="81">
        <f t="shared" si="7"/>
        <v>3.5833333333333335</v>
      </c>
      <c r="D79" s="105">
        <f t="shared" si="8"/>
        <v>3.9789301544717048E-3</v>
      </c>
      <c r="E79" s="106">
        <f t="shared" si="12"/>
        <v>0.84302850200974122</v>
      </c>
      <c r="F79" s="60">
        <f>rate</f>
        <v>3.2737397821989145E-3</v>
      </c>
      <c r="G79" s="31">
        <f>IF(AND(B78&gt;=gracia,12*años+gracia-B78&gt;0,$L$2&lt;&gt;1),PMT(F78,12*años-B78+gracia,-K78),0)</f>
        <v>19.168720484415221</v>
      </c>
      <c r="H79" s="31">
        <f>IF(AND(12*años+gracia-B78&gt;0,$L$2&lt;&gt;1),K78*F79,0)</f>
        <v>12.389033654950357</v>
      </c>
      <c r="I79" s="31">
        <f>IF(AND(12*años+gracia-B78&gt;0,$L$2&lt;&gt;1),G79-H79,0)</f>
        <v>6.7796868294648647</v>
      </c>
      <c r="J79" s="62"/>
      <c r="K79" s="61">
        <f t="shared" si="13"/>
        <v>3777.5875748314043</v>
      </c>
      <c r="L79" s="61">
        <f>L78*(1+$J$17)^(1/12)</f>
        <v>5002.7934085611887</v>
      </c>
      <c r="M79" s="31">
        <f t="shared" si="14"/>
        <v>12</v>
      </c>
      <c r="N79" s="31">
        <f t="shared" si="15"/>
        <v>0</v>
      </c>
      <c r="O79" s="31">
        <f t="shared" si="16"/>
        <v>-2.25</v>
      </c>
      <c r="P79" s="62"/>
      <c r="Q79" s="31">
        <f t="shared" si="9"/>
        <v>-9.4187204844152213</v>
      </c>
      <c r="R79" s="31">
        <f>SUM($Q$36:Q79)</f>
        <v>-1000.4049808298531</v>
      </c>
      <c r="S79" s="83">
        <f>IF($L$2&lt;&gt;1,-(R79-$R$36)/B79*12/$Q$36,0)</f>
        <v>-0.18982977126802533</v>
      </c>
      <c r="T79" s="31">
        <f>SUMPRODUCT($Q$36:Q79,$E$36:E79)/E79-R79</f>
        <v>-146.62020295324362</v>
      </c>
      <c r="U79" s="31">
        <f t="shared" si="10"/>
        <v>224.80085289993167</v>
      </c>
      <c r="V79" s="31">
        <f t="shared" si="11"/>
        <v>820.20085289993165</v>
      </c>
      <c r="W79" s="80" cm="1">
        <f t="array" ref="W79">IF($L$2&lt;&gt;1,IRR(IF(ROW($Q$36:Q79)=ROW(Q79),Q79+L79-K79,$Q$36:Q79),W78/12)*12,0)</f>
        <v>7.0506362087476404E-2</v>
      </c>
      <c r="X79" s="83">
        <f>(1+W79/12)^(B79)-1</f>
        <v>0.28647828329196146</v>
      </c>
    </row>
    <row r="80" spans="2:24" x14ac:dyDescent="0.25">
      <c r="B80" s="33">
        <v>44</v>
      </c>
      <c r="C80" s="81">
        <f t="shared" si="7"/>
        <v>3.6666666666666665</v>
      </c>
      <c r="D80" s="105">
        <f t="shared" si="8"/>
        <v>3.9789301544717048E-3</v>
      </c>
      <c r="E80" s="106">
        <f t="shared" si="12"/>
        <v>0.8396874443172162</v>
      </c>
      <c r="F80" s="60">
        <f>rate</f>
        <v>3.2737397821989145E-3</v>
      </c>
      <c r="G80" s="31">
        <f>IF(AND(B79&gt;=gracia,12*años+gracia-B79&gt;0,$L$2&lt;&gt;1),PMT(F79,12*años-B79+gracia,-K79),0)</f>
        <v>19.168720484415221</v>
      </c>
      <c r="H80" s="31">
        <f>IF(AND(12*años+gracia-B79&gt;0,$L$2&lt;&gt;1),K79*F80,0)</f>
        <v>12.366838724465888</v>
      </c>
      <c r="I80" s="31">
        <f>IF(AND(12*años+gracia-B79&gt;0,$L$2&lt;&gt;1),G80-H80,0)</f>
        <v>6.8018817599493335</v>
      </c>
      <c r="J80" s="62"/>
      <c r="K80" s="61">
        <f t="shared" si="13"/>
        <v>3770.7856930714547</v>
      </c>
      <c r="L80" s="61">
        <f>L79*(1+$J$17)^(1/12)</f>
        <v>5015.131646721803</v>
      </c>
      <c r="M80" s="31">
        <f t="shared" si="14"/>
        <v>12</v>
      </c>
      <c r="N80" s="31">
        <f t="shared" si="15"/>
        <v>0</v>
      </c>
      <c r="O80" s="31">
        <f t="shared" si="16"/>
        <v>-2.25</v>
      </c>
      <c r="P80" s="62"/>
      <c r="Q80" s="31">
        <f t="shared" si="9"/>
        <v>-9.4187204844152213</v>
      </c>
      <c r="R80" s="31">
        <f>SUM($Q$36:Q80)</f>
        <v>-1009.8237013142683</v>
      </c>
      <c r="S80" s="83">
        <f>IF($L$2&lt;&gt;1,-(R80-$R$36)/B80*12/$Q$36,0)</f>
        <v>-0.18982977126802533</v>
      </c>
      <c r="T80" s="31">
        <f>SUMPRODUCT($Q$36:Q80,$E$36:E80)/E80-R80</f>
        <v>-151.18413604493674</v>
      </c>
      <c r="U80" s="31">
        <f t="shared" si="10"/>
        <v>234.52225233607987</v>
      </c>
      <c r="V80" s="31">
        <f t="shared" si="11"/>
        <v>829.92225233607985</v>
      </c>
      <c r="W80" s="80" cm="1">
        <f t="array" ref="W80">IF($L$2&lt;&gt;1,IRR(IF(ROW($Q$36:Q80)=ROW(Q80),Q80+L80-K80,$Q$36:Q80),W79/12)*12,0)</f>
        <v>7.119017596246735E-2</v>
      </c>
      <c r="X80" s="83">
        <f>(1+W80/12)^(B80)-1</f>
        <v>0.29726656677299945</v>
      </c>
    </row>
    <row r="81" spans="2:25" x14ac:dyDescent="0.25">
      <c r="B81" s="33">
        <v>45</v>
      </c>
      <c r="C81" s="81">
        <f t="shared" si="7"/>
        <v>3.75</v>
      </c>
      <c r="D81" s="105">
        <f t="shared" si="8"/>
        <v>3.9789301544717048E-3</v>
      </c>
      <c r="E81" s="106">
        <f t="shared" si="12"/>
        <v>0.83635962777428241</v>
      </c>
      <c r="F81" s="60">
        <f>rate</f>
        <v>3.2737397821989145E-3</v>
      </c>
      <c r="G81" s="31">
        <f>IF(AND(B80&gt;=gracia,12*años+gracia-B80&gt;0,$L$2&lt;&gt;1),PMT(F80,12*años-B80+gracia,-K80),0)</f>
        <v>19.168720484415218</v>
      </c>
      <c r="H81" s="31">
        <f>IF(AND(12*años+gracia-B80&gt;0,$L$2&lt;&gt;1),K80*F81,0)</f>
        <v>12.344571133554528</v>
      </c>
      <c r="I81" s="31">
        <f>IF(AND(12*años+gracia-B80&gt;0,$L$2&lt;&gt;1),G81-H81,0)</f>
        <v>6.8241493508606901</v>
      </c>
      <c r="J81" s="62"/>
      <c r="K81" s="61">
        <f t="shared" si="13"/>
        <v>3763.9615437205939</v>
      </c>
      <c r="L81" s="61">
        <f>L80*(1+$J$17)^(1/12)</f>
        <v>5027.5003143062368</v>
      </c>
      <c r="M81" s="31">
        <f t="shared" si="14"/>
        <v>12</v>
      </c>
      <c r="N81" s="31">
        <f t="shared" si="15"/>
        <v>0</v>
      </c>
      <c r="O81" s="31">
        <f t="shared" si="16"/>
        <v>-2.25</v>
      </c>
      <c r="P81" s="62"/>
      <c r="Q81" s="31">
        <f t="shared" si="9"/>
        <v>-9.4187204844152177</v>
      </c>
      <c r="R81" s="31">
        <f>SUM($Q$36:Q81)</f>
        <v>-1019.2424217986835</v>
      </c>
      <c r="S81" s="83">
        <f>IF($L$2&lt;&gt;1,-(R81-$R$36)/B81*12/$Q$36,0)</f>
        <v>-0.18982977126802533</v>
      </c>
      <c r="T81" s="31">
        <f>SUMPRODUCT($Q$36:Q81,$E$36:E81)/E81-R81</f>
        <v>-155.80370513858327</v>
      </c>
      <c r="U81" s="31">
        <f t="shared" si="10"/>
        <v>244.29634878695924</v>
      </c>
      <c r="V81" s="31">
        <f t="shared" si="11"/>
        <v>839.69634878695922</v>
      </c>
      <c r="W81" s="80" cm="1">
        <f t="array" ref="W81">IF($L$2&lt;&gt;1,IRR(IF(ROW($Q$36:Q81)=ROW(Q81),Q81+L81-K81,$Q$36:Q81),W80/12)*12,0)</f>
        <v>7.1815884278882969E-2</v>
      </c>
      <c r="X81" s="83">
        <f>(1+W81/12)^(B81)-1</f>
        <v>0.30801000775958087</v>
      </c>
    </row>
    <row r="82" spans="2:25" x14ac:dyDescent="0.25">
      <c r="B82" s="33">
        <v>46</v>
      </c>
      <c r="C82" s="81">
        <f t="shared" si="7"/>
        <v>3.8333333333333335</v>
      </c>
      <c r="D82" s="105">
        <f t="shared" si="8"/>
        <v>3.9789301544717048E-3</v>
      </c>
      <c r="E82" s="106">
        <f t="shared" si="12"/>
        <v>0.83304499990413194</v>
      </c>
      <c r="F82" s="60">
        <f>rate</f>
        <v>3.2737397821989145E-3</v>
      </c>
      <c r="G82" s="31">
        <f>IF(AND(B81&gt;=gracia,12*años+gracia-B81&gt;0,$L$2&lt;&gt;1),PMT(F81,12*años-B81+gracia,-K81),0)</f>
        <v>19.168720484415221</v>
      </c>
      <c r="H82" s="31">
        <f>IF(AND(12*años+gracia-B81&gt;0,$L$2&lt;&gt;1),K81*F82,0)</f>
        <v>12.322230644344947</v>
      </c>
      <c r="I82" s="31">
        <f>IF(AND(12*años+gracia-B81&gt;0,$L$2&lt;&gt;1),G82-H82,0)</f>
        <v>6.8464898400702747</v>
      </c>
      <c r="J82" s="62"/>
      <c r="K82" s="61">
        <f t="shared" si="13"/>
        <v>3757.1150538805236</v>
      </c>
      <c r="L82" s="61">
        <f>L81*(1+$J$17)^(1/12)</f>
        <v>5039.8994863616572</v>
      </c>
      <c r="M82" s="31">
        <f t="shared" si="14"/>
        <v>12</v>
      </c>
      <c r="N82" s="31">
        <f t="shared" si="15"/>
        <v>0</v>
      </c>
      <c r="O82" s="31">
        <f t="shared" si="16"/>
        <v>-2.25</v>
      </c>
      <c r="P82" s="62"/>
      <c r="Q82" s="31">
        <f t="shared" si="9"/>
        <v>-9.4187204844152213</v>
      </c>
      <c r="R82" s="31">
        <f>SUM($Q$36:Q82)</f>
        <v>-1028.6611422830988</v>
      </c>
      <c r="S82" s="83">
        <f>IF($L$2&lt;&gt;1,-(R82-$R$36)/B82*12/$Q$36,0)</f>
        <v>-0.18982977126802536</v>
      </c>
      <c r="T82" s="31">
        <f>SUMPRODUCT($Q$36:Q82,$E$36:E82)/E82-R82</f>
        <v>-160.47913160594908</v>
      </c>
      <c r="U82" s="31">
        <f t="shared" si="10"/>
        <v>254.12329019803474</v>
      </c>
      <c r="V82" s="31">
        <f t="shared" si="11"/>
        <v>849.52329019803472</v>
      </c>
      <c r="W82" s="80" cm="1">
        <f t="array" ref="W82">IF($L$2&lt;&gt;1,IRR(IF(ROW($Q$36:Q82)=ROW(Q82),Q82+L82-K82,$Q$36:Q82),W81/12)*12,0)</f>
        <v>7.2388030709787721E-2</v>
      </c>
      <c r="X82" s="83">
        <f>(1+W82/12)^(B82)-1</f>
        <v>0.3187098245492499</v>
      </c>
    </row>
    <row r="83" spans="2:25" x14ac:dyDescent="0.25">
      <c r="B83" s="33">
        <v>47</v>
      </c>
      <c r="C83" s="81">
        <f t="shared" si="7"/>
        <v>3.9166666666666665</v>
      </c>
      <c r="D83" s="105">
        <f t="shared" si="8"/>
        <v>3.9789301544717048E-3</v>
      </c>
      <c r="E83" s="106">
        <f t="shared" si="12"/>
        <v>0.8297435084379311</v>
      </c>
      <c r="F83" s="60">
        <f>rate</f>
        <v>3.2737397821989145E-3</v>
      </c>
      <c r="G83" s="31">
        <f>IF(AND(B82&gt;=gracia,12*años+gracia-B82&gt;0,$L$2&lt;&gt;1),PMT(F82,12*años-B82+gracia,-K82),0)</f>
        <v>19.168720484415218</v>
      </c>
      <c r="H83" s="31">
        <f>IF(AND(12*años+gracia-B82&gt;0,$L$2&lt;&gt;1),K82*F83,0)</f>
        <v>12.299817018187088</v>
      </c>
      <c r="I83" s="31">
        <f>IF(AND(12*años+gracia-B82&gt;0,$L$2&lt;&gt;1),G83-H83,0)</f>
        <v>6.8689034662281294</v>
      </c>
      <c r="J83" s="62"/>
      <c r="K83" s="61">
        <f t="shared" si="13"/>
        <v>3750.2461504142957</v>
      </c>
      <c r="L83" s="61">
        <f>L82*(1+$J$17)^(1/12)</f>
        <v>5052.32923812032</v>
      </c>
      <c r="M83" s="31">
        <f t="shared" si="14"/>
        <v>12</v>
      </c>
      <c r="N83" s="31">
        <f t="shared" si="15"/>
        <v>0</v>
      </c>
      <c r="O83" s="31">
        <f t="shared" si="16"/>
        <v>-2.25</v>
      </c>
      <c r="P83" s="62"/>
      <c r="Q83" s="31">
        <f t="shared" si="9"/>
        <v>-9.4187204844152177</v>
      </c>
      <c r="R83" s="31">
        <f>SUM($Q$36:Q83)</f>
        <v>-1038.079862767514</v>
      </c>
      <c r="S83" s="83">
        <f>IF($L$2&lt;&gt;1,-(R83-$R$36)/B83*12/$Q$36,0)</f>
        <v>-0.18982977126802536</v>
      </c>
      <c r="T83" s="31">
        <f>SUMPRODUCT($Q$36:Q83,$E$36:E83)/E83-R83</f>
        <v>-165.21063769962302</v>
      </c>
      <c r="U83" s="31">
        <f t="shared" si="10"/>
        <v>264.00322493851036</v>
      </c>
      <c r="V83" s="31">
        <f t="shared" si="11"/>
        <v>859.40322493851033</v>
      </c>
      <c r="W83" s="80" cm="1">
        <f t="array" ref="W83">IF($L$2&lt;&gt;1,IRR(IF(ROW($Q$36:Q83)=ROW(Q83),Q83+L83-K83,$Q$36:Q83),W82/12)*12,0)</f>
        <v>7.2910743985994841E-2</v>
      </c>
      <c r="X83" s="83">
        <f>(1+W83/12)^(B83)-1</f>
        <v>0.32936720178110956</v>
      </c>
    </row>
    <row r="84" spans="2:25" x14ac:dyDescent="0.25">
      <c r="B84" s="33">
        <v>48</v>
      </c>
      <c r="C84" s="81">
        <f t="shared" si="7"/>
        <v>4</v>
      </c>
      <c r="D84" s="105">
        <f t="shared" si="8"/>
        <v>3.9789301544717048E-3</v>
      </c>
      <c r="E84" s="106">
        <f t="shared" si="12"/>
        <v>0.82645510131399591</v>
      </c>
      <c r="F84" s="60">
        <f>rate</f>
        <v>3.2737397821989145E-3</v>
      </c>
      <c r="G84" s="31">
        <f>IF(AND(B83&gt;=gracia,12*años+gracia-B83&gt;0,$L$2&lt;&gt;1),PMT(F83,12*años-B83+gracia,-K83),0)</f>
        <v>19.168720484415221</v>
      </c>
      <c r="H84" s="31">
        <f>IF(AND(12*años+gracia-B83&gt;0,$L$2&lt;&gt;1),K83*F84,0)</f>
        <v>12.277330015649614</v>
      </c>
      <c r="I84" s="31">
        <f>IF(AND(12*años+gracia-B83&gt;0,$L$2&lt;&gt;1),G84-H84,0)</f>
        <v>6.8913904687656071</v>
      </c>
      <c r="J84" s="62"/>
      <c r="K84" s="61">
        <f t="shared" si="13"/>
        <v>3743.3547599455301</v>
      </c>
      <c r="L84" s="61">
        <f>L83*(1+$J$17)^(1/12)</f>
        <v>5064.7896450000226</v>
      </c>
      <c r="M84" s="31">
        <f t="shared" si="14"/>
        <v>12</v>
      </c>
      <c r="N84" s="31">
        <f t="shared" si="15"/>
        <v>0</v>
      </c>
      <c r="O84" s="31">
        <f t="shared" si="16"/>
        <v>-2.25</v>
      </c>
      <c r="P84" s="62"/>
      <c r="Q84" s="31">
        <f t="shared" si="9"/>
        <v>-9.4187204844152213</v>
      </c>
      <c r="R84" s="31">
        <f>SUM($Q$36:Q84)</f>
        <v>-1047.4985832519292</v>
      </c>
      <c r="S84" s="83">
        <f>IF($L$2&lt;&gt;1,-(R84-$R$36)/B84*12/$Q$36,0)</f>
        <v>-0.18982977126802536</v>
      </c>
      <c r="T84" s="31">
        <f>SUMPRODUCT($Q$36:Q84,$E$36:E84)/E84-R84</f>
        <v>-169.998446556521</v>
      </c>
      <c r="U84" s="31">
        <f t="shared" si="10"/>
        <v>273.93630180256332</v>
      </c>
      <c r="V84" s="31">
        <f t="shared" si="11"/>
        <v>869.3363018025633</v>
      </c>
      <c r="W84" s="80" cm="1">
        <f t="array" ref="W84">IF($L$2&lt;&gt;1,IRR(IF(ROW($Q$36:Q84)=ROW(Q84),Q84+L84-K84,$Q$36:Q84),W83/12)*12,0)</f>
        <v>7.3387782450890171E-2</v>
      </c>
      <c r="X84" s="83">
        <f>(1+W84/12)^(B84)-1</f>
        <v>0.33998329175773589</v>
      </c>
    </row>
    <row r="85" spans="2:25" x14ac:dyDescent="0.25">
      <c r="B85" s="33">
        <v>49</v>
      </c>
      <c r="C85" s="81">
        <f t="shared" si="7"/>
        <v>4.083333333333333</v>
      </c>
      <c r="D85" s="105">
        <f t="shared" si="8"/>
        <v>3.9789301544717048E-3</v>
      </c>
      <c r="E85" s="106">
        <f t="shared" si="12"/>
        <v>0.82317972667697115</v>
      </c>
      <c r="F85" s="60">
        <f>rate</f>
        <v>3.2737397821989145E-3</v>
      </c>
      <c r="G85" s="31">
        <f>IF(AND(B84&gt;=gracia,12*años+gracia-B84&gt;0,$L$2&lt;&gt;1),PMT(F84,12*años-B84+gracia,-K84),0)</f>
        <v>19.168720484415221</v>
      </c>
      <c r="H85" s="31">
        <f>IF(AND(12*años+gracia-B84&gt;0,$L$2&lt;&gt;1),K84*F85,0)</f>
        <v>12.25476939651735</v>
      </c>
      <c r="I85" s="31">
        <f>IF(AND(12*años+gracia-B84&gt;0,$L$2&lt;&gt;1),G85-H85,0)</f>
        <v>6.9139510878978712</v>
      </c>
      <c r="J85" s="62"/>
      <c r="K85" s="61">
        <f t="shared" si="13"/>
        <v>3736.4408088576324</v>
      </c>
      <c r="L85" s="61">
        <f>L84*(1+$J$17)^(1/12)</f>
        <v>5077.2807826045628</v>
      </c>
      <c r="M85" s="31">
        <f t="shared" si="14"/>
        <v>12</v>
      </c>
      <c r="N85" s="31">
        <f t="shared" si="15"/>
        <v>0</v>
      </c>
      <c r="O85" s="31">
        <f t="shared" si="16"/>
        <v>-2.25</v>
      </c>
      <c r="P85" s="62"/>
      <c r="Q85" s="31">
        <f t="shared" si="9"/>
        <v>-9.4187204844152213</v>
      </c>
      <c r="R85" s="31">
        <f>SUM($Q$36:Q85)</f>
        <v>-1056.9173037363444</v>
      </c>
      <c r="S85" s="83">
        <f>IF($L$2&lt;&gt;1,-(R85-$R$36)/B85*12/$Q$36,0)</f>
        <v>-0.18982977126802536</v>
      </c>
      <c r="T85" s="31">
        <f>SUMPRODUCT($Q$36:Q85,$E$36:E85)/E85-R85</f>
        <v>-174.8427822014055</v>
      </c>
      <c r="U85" s="31">
        <f t="shared" si="10"/>
        <v>283.92267001058644</v>
      </c>
      <c r="V85" s="31">
        <f t="shared" si="11"/>
        <v>879.32267001058642</v>
      </c>
      <c r="W85" s="80" cm="1">
        <f t="array" ref="W85">IF($L$2&lt;&gt;1,IRR(IF(ROW($Q$36:Q85)=ROW(Q85),Q85+L85-K85,$Q$36:Q85),W84/12)*12,0)</f>
        <v>7.382257308653184E-2</v>
      </c>
      <c r="X85" s="83">
        <f>(1+W85/12)^(B85)-1</f>
        <v>0.35055921570008031</v>
      </c>
    </row>
    <row r="86" spans="2:25" x14ac:dyDescent="0.25">
      <c r="B86" s="33">
        <v>50</v>
      </c>
      <c r="C86" s="81">
        <f t="shared" si="7"/>
        <v>4.166666666666667</v>
      </c>
      <c r="D86" s="105">
        <f t="shared" si="8"/>
        <v>3.9789301544717048E-3</v>
      </c>
      <c r="E86" s="106">
        <f t="shared" si="12"/>
        <v>0.81991733287701274</v>
      </c>
      <c r="F86" s="60">
        <f>rate</f>
        <v>3.2737397821989145E-3</v>
      </c>
      <c r="G86" s="31">
        <f>IF(AND(B85&gt;=gracia,12*años+gracia-B85&gt;0,$L$2&lt;&gt;1),PMT(F85,12*años-B85+gracia,-K85),0)</f>
        <v>19.168720484415221</v>
      </c>
      <c r="H86" s="31">
        <f>IF(AND(12*años+gracia-B85&gt;0,$L$2&lt;&gt;1),K85*F86,0)</f>
        <v>12.232134919788722</v>
      </c>
      <c r="I86" s="31">
        <f>IF(AND(12*años+gracia-B85&gt;0,$L$2&lt;&gt;1),G86-H86,0)</f>
        <v>6.9365855646264993</v>
      </c>
      <c r="J86" s="62"/>
      <c r="K86" s="61">
        <f t="shared" si="13"/>
        <v>3729.5042232930059</v>
      </c>
      <c r="L86" s="61">
        <f>L85*(1+$J$17)^(1/12)</f>
        <v>5089.8027267241987</v>
      </c>
      <c r="M86" s="31">
        <f t="shared" si="14"/>
        <v>12</v>
      </c>
      <c r="N86" s="31">
        <f t="shared" si="15"/>
        <v>0</v>
      </c>
      <c r="O86" s="31">
        <f t="shared" si="16"/>
        <v>-2.25</v>
      </c>
      <c r="P86" s="62"/>
      <c r="Q86" s="31">
        <f t="shared" si="9"/>
        <v>-9.4187204844152213</v>
      </c>
      <c r="R86" s="31">
        <f>SUM($Q$36:Q86)</f>
        <v>-1066.3360242207596</v>
      </c>
      <c r="S86" s="83">
        <f>IF($L$2&lt;&gt;1,-(R86-$R$36)/B86*12/$Q$36,0)</f>
        <v>-0.18982977126802536</v>
      </c>
      <c r="T86" s="31">
        <f>SUMPRODUCT($Q$36:Q86,$E$36:E86)/E86-R86</f>
        <v>-179.74386955041791</v>
      </c>
      <c r="U86" s="31">
        <f t="shared" si="10"/>
        <v>293.96247921043323</v>
      </c>
      <c r="V86" s="31">
        <f t="shared" si="11"/>
        <v>889.36247921043321</v>
      </c>
      <c r="W86" s="80" cm="1">
        <f t="array" ref="W86">IF($L$2&lt;&gt;1,IRR(IF(ROW($Q$36:Q86)=ROW(Q86),Q86+L86-K86,$Q$36:Q86),W85/12)*12,0)</f>
        <v>7.4218245789328563E-2</v>
      </c>
      <c r="X86" s="83">
        <f>(1+W86/12)^(B86)-1</f>
        <v>0.3610960649400774</v>
      </c>
    </row>
    <row r="87" spans="2:25" x14ac:dyDescent="0.25">
      <c r="B87" s="33">
        <v>51</v>
      </c>
      <c r="C87" s="81">
        <f t="shared" si="7"/>
        <v>4.25</v>
      </c>
      <c r="D87" s="105">
        <f t="shared" si="8"/>
        <v>3.9789301544717048E-3</v>
      </c>
      <c r="E87" s="106">
        <f t="shared" si="12"/>
        <v>0.81666786846897343</v>
      </c>
      <c r="F87" s="60">
        <f>rate</f>
        <v>3.2737397821989145E-3</v>
      </c>
      <c r="G87" s="31">
        <f>IF(AND(B86&gt;=gracia,12*años+gracia-B86&gt;0,$L$2&lt;&gt;1),PMT(F86,12*años-B86+gracia,-K86),0)</f>
        <v>19.168720484415221</v>
      </c>
      <c r="H87" s="31">
        <f>IF(AND(12*años+gracia-B86&gt;0,$L$2&lt;&gt;1),K86*F87,0)</f>
        <v>12.209426343673178</v>
      </c>
      <c r="I87" s="31">
        <f>IF(AND(12*años+gracia-B86&gt;0,$L$2&lt;&gt;1),G87-H87,0)</f>
        <v>6.9592941407420437</v>
      </c>
      <c r="J87" s="62"/>
      <c r="K87" s="61">
        <f t="shared" si="13"/>
        <v>3722.5449291522636</v>
      </c>
      <c r="L87" s="61">
        <f>L86*(1+$J$17)^(1/12)</f>
        <v>5102.3555533361077</v>
      </c>
      <c r="M87" s="31">
        <f t="shared" si="14"/>
        <v>12</v>
      </c>
      <c r="N87" s="31">
        <f t="shared" si="15"/>
        <v>0</v>
      </c>
      <c r="O87" s="31">
        <f t="shared" si="16"/>
        <v>-2.25</v>
      </c>
      <c r="P87" s="62"/>
      <c r="Q87" s="31">
        <f t="shared" si="9"/>
        <v>-9.4187204844152213</v>
      </c>
      <c r="R87" s="31">
        <f>SUM($Q$36:Q87)</f>
        <v>-1075.7547447051747</v>
      </c>
      <c r="S87" s="83">
        <f>IF($L$2&lt;&gt;1,-(R87-$R$36)/B87*12/$Q$36,0)</f>
        <v>-0.18982977126802536</v>
      </c>
      <c r="T87" s="31">
        <f>SUMPRODUCT($Q$36:Q87,$E$36:E87)/E87-R87</f>
        <v>-184.70193441462493</v>
      </c>
      <c r="U87" s="31">
        <f t="shared" si="10"/>
        <v>304.05587947866934</v>
      </c>
      <c r="V87" s="31">
        <f t="shared" si="11"/>
        <v>899.45587947866932</v>
      </c>
      <c r="W87" s="80" cm="1">
        <f t="array" ref="W87">IF($L$2&lt;&gt;1,IRR(IF(ROW($Q$36:Q87)=ROW(Q87),Q87+L87-K87,$Q$36:Q87),W86/12)*12,0)</f>
        <v>7.4577663551145257E-2</v>
      </c>
      <c r="X87" s="83">
        <f>(1+W87/12)^(B87)-1</f>
        <v>0.37159490205422241</v>
      </c>
    </row>
    <row r="88" spans="2:25" x14ac:dyDescent="0.25">
      <c r="B88" s="33">
        <v>52</v>
      </c>
      <c r="C88" s="81">
        <f t="shared" si="7"/>
        <v>4.333333333333333</v>
      </c>
      <c r="D88" s="105">
        <f t="shared" si="8"/>
        <v>3.9789301544717048E-3</v>
      </c>
      <c r="E88" s="106">
        <f t="shared" si="12"/>
        <v>0.81343128221159111</v>
      </c>
      <c r="F88" s="60">
        <f>rate</f>
        <v>3.2737397821989145E-3</v>
      </c>
      <c r="G88" s="31">
        <f>IF(AND(B87&gt;=gracia,12*años+gracia-B87&gt;0,$L$2&lt;&gt;1),PMT(F87,12*años-B87+gracia,-K87),0)</f>
        <v>19.168720484415225</v>
      </c>
      <c r="H88" s="31">
        <f>IF(AND(12*años+gracia-B87&gt;0,$L$2&lt;&gt;1),K87*F88,0)</f>
        <v>12.186643425588604</v>
      </c>
      <c r="I88" s="31">
        <f>IF(AND(12*años+gracia-B87&gt;0,$L$2&lt;&gt;1),G88-H88,0)</f>
        <v>6.9820770588266203</v>
      </c>
      <c r="J88" s="62"/>
      <c r="K88" s="61">
        <f t="shared" si="13"/>
        <v>3715.562852093437</v>
      </c>
      <c r="L88" s="61">
        <f>L87*(1+$J$17)^(1/12)</f>
        <v>5114.9393386048469</v>
      </c>
      <c r="M88" s="31">
        <f t="shared" si="14"/>
        <v>12</v>
      </c>
      <c r="N88" s="31">
        <f t="shared" si="15"/>
        <v>0</v>
      </c>
      <c r="O88" s="31">
        <f t="shared" si="16"/>
        <v>-2.25</v>
      </c>
      <c r="P88" s="62"/>
      <c r="Q88" s="31">
        <f t="shared" si="9"/>
        <v>-9.4187204844152248</v>
      </c>
      <c r="R88" s="31">
        <f>SUM($Q$36:Q88)</f>
        <v>-1085.1734651895899</v>
      </c>
      <c r="S88" s="83">
        <f>IF($L$2&lt;&gt;1,-(R88-$R$36)/B88*12/$Q$36,0)</f>
        <v>-0.18982977126802536</v>
      </c>
      <c r="T88" s="31">
        <f>SUMPRODUCT($Q$36:Q88,$E$36:E88)/E88-R88</f>
        <v>-189.71720350358032</v>
      </c>
      <c r="U88" s="31">
        <f t="shared" si="10"/>
        <v>314.20302132182042</v>
      </c>
      <c r="V88" s="31">
        <f t="shared" si="11"/>
        <v>909.60302132182039</v>
      </c>
      <c r="W88" s="80" cm="1">
        <f t="array" ref="W88">IF($L$2&lt;&gt;1,IRR(IF(ROW($Q$36:Q88)=ROW(Q88),Q88+L88-K88,$Q$36:Q88),W87/12)*12,0)</f>
        <v>7.4903449100762742E-2</v>
      </c>
      <c r="X88" s="83">
        <f>(1+W88/12)^(B88)-1</f>
        <v>0.38205676194229032</v>
      </c>
    </row>
    <row r="89" spans="2:25" x14ac:dyDescent="0.25">
      <c r="B89" s="33">
        <v>53</v>
      </c>
      <c r="C89" s="81">
        <f t="shared" si="7"/>
        <v>4.416666666666667</v>
      </c>
      <c r="D89" s="105">
        <f t="shared" si="8"/>
        <v>3.9789301544717048E-3</v>
      </c>
      <c r="E89" s="106">
        <f t="shared" si="12"/>
        <v>0.81020752306668131</v>
      </c>
      <c r="F89" s="60">
        <f>rate</f>
        <v>3.2737397821989145E-3</v>
      </c>
      <c r="G89" s="31">
        <f>IF(AND(B88&gt;=gracia,12*años+gracia-B88&gt;0,$L$2&lt;&gt;1),PMT(F88,12*años-B88+gracia,-K88),0)</f>
        <v>19.168720484415221</v>
      </c>
      <c r="H89" s="31">
        <f>IF(AND(12*años+gracia-B88&gt;0,$L$2&lt;&gt;1),K88*F89,0)</f>
        <v>12.163785922158747</v>
      </c>
      <c r="I89" s="31">
        <f>IF(AND(12*años+gracia-B88&gt;0,$L$2&lt;&gt;1),G89-H89,0)</f>
        <v>7.0049345622564747</v>
      </c>
      <c r="J89" s="62"/>
      <c r="K89" s="61">
        <f t="shared" si="13"/>
        <v>3708.5579175311805</v>
      </c>
      <c r="L89" s="61">
        <f>L88*(1+$J$17)^(1/12)</f>
        <v>5127.5541588828146</v>
      </c>
      <c r="M89" s="31">
        <f t="shared" si="14"/>
        <v>12</v>
      </c>
      <c r="N89" s="31">
        <f t="shared" si="15"/>
        <v>0</v>
      </c>
      <c r="O89" s="31">
        <f t="shared" si="16"/>
        <v>-2.25</v>
      </c>
      <c r="P89" s="62"/>
      <c r="Q89" s="31">
        <f t="shared" si="9"/>
        <v>-9.4187204844152213</v>
      </c>
      <c r="R89" s="31">
        <f>SUM($Q$36:Q89)</f>
        <v>-1094.5921856740051</v>
      </c>
      <c r="S89" s="83">
        <f>IF($L$2&lt;&gt;1,-(R89-$R$36)/B89*12/$Q$36,0)</f>
        <v>-0.18982977126802536</v>
      </c>
      <c r="T89" s="31">
        <f>SUMPRODUCT($Q$36:Q89,$E$36:E89)/E89-R89</f>
        <v>-194.78990442889813</v>
      </c>
      <c r="U89" s="31">
        <f t="shared" si="10"/>
        <v>324.404055677629</v>
      </c>
      <c r="V89" s="31">
        <f t="shared" si="11"/>
        <v>919.80405567762898</v>
      </c>
      <c r="W89" s="80" cm="1">
        <f t="array" ref="W89">IF($L$2&lt;&gt;1,IRR(IF(ROW($Q$36:Q89)=ROW(Q89),Q89+L89-K89,$Q$36:Q89),W88/12)*12,0)</f>
        <v>7.5198008476520251E-2</v>
      </c>
      <c r="X89" s="83">
        <f>(1+W89/12)^(B89)-1</f>
        <v>0.39248265285411454</v>
      </c>
    </row>
    <row r="90" spans="2:25" x14ac:dyDescent="0.25">
      <c r="B90" s="33">
        <v>54</v>
      </c>
      <c r="C90" s="81">
        <f t="shared" si="7"/>
        <v>4.5</v>
      </c>
      <c r="D90" s="105">
        <f t="shared" si="8"/>
        <v>3.9789301544717048E-3</v>
      </c>
      <c r="E90" s="106">
        <f t="shared" si="12"/>
        <v>0.80699654019833178</v>
      </c>
      <c r="F90" s="60">
        <f>rate</f>
        <v>3.2737397821989145E-3</v>
      </c>
      <c r="G90" s="31">
        <f>IF(AND(B89&gt;=gracia,12*años+gracia-B89&gt;0,$L$2&lt;&gt;1),PMT(F89,12*años-B89+gracia,-K89),0)</f>
        <v>19.168720484415221</v>
      </c>
      <c r="H90" s="31">
        <f>IF(AND(12*años+gracia-B89&gt;0,$L$2&lt;&gt;1),K89*F90,0)</f>
        <v>12.140853589210586</v>
      </c>
      <c r="I90" s="31">
        <f>IF(AND(12*años+gracia-B89&gt;0,$L$2&lt;&gt;1),G90-H90,0)</f>
        <v>7.0278668952046353</v>
      </c>
      <c r="J90" s="62"/>
      <c r="K90" s="61">
        <f t="shared" si="13"/>
        <v>3701.5300506359758</v>
      </c>
      <c r="L90" s="61">
        <f>L89*(1+$J$17)^(1/12)</f>
        <v>5140.2000907107176</v>
      </c>
      <c r="M90" s="31">
        <f t="shared" si="14"/>
        <v>12</v>
      </c>
      <c r="N90" s="31">
        <f t="shared" si="15"/>
        <v>0</v>
      </c>
      <c r="O90" s="31">
        <f t="shared" si="16"/>
        <v>-2.25</v>
      </c>
      <c r="P90" s="62"/>
      <c r="Q90" s="31">
        <f t="shared" si="9"/>
        <v>-9.4187204844152213</v>
      </c>
      <c r="R90" s="31">
        <f>SUM($Q$36:Q90)</f>
        <v>-1104.0109061584203</v>
      </c>
      <c r="S90" s="83">
        <f>IF($L$2&lt;&gt;1,-(R90-$R$36)/B90*12/$Q$36,0)</f>
        <v>-0.18982977126802536</v>
      </c>
      <c r="T90" s="31">
        <f>SUMPRODUCT($Q$36:Q90,$E$36:E90)/E90-R90</f>
        <v>-199.92026570784446</v>
      </c>
      <c r="U90" s="31">
        <f t="shared" si="10"/>
        <v>334.65913391632148</v>
      </c>
      <c r="V90" s="31">
        <f t="shared" si="11"/>
        <v>930.05913391632146</v>
      </c>
      <c r="W90" s="80" cm="1">
        <f t="array" ref="W90">IF($L$2&lt;&gt;1,IRR(IF(ROW($Q$36:Q90)=ROW(Q90),Q90+L90-K90,$Q$36:Q90),W89/12)*12,0)</f>
        <v>7.5463551931076012E-2</v>
      </c>
      <c r="X90" s="83">
        <f>(1+W90/12)^(B90)-1</f>
        <v>0.40287355736737207</v>
      </c>
    </row>
    <row r="91" spans="2:25" x14ac:dyDescent="0.25">
      <c r="B91" s="33">
        <v>55</v>
      </c>
      <c r="C91" s="81">
        <f t="shared" si="7"/>
        <v>4.583333333333333</v>
      </c>
      <c r="D91" s="105">
        <f t="shared" si="8"/>
        <v>3.9789301544717048E-3</v>
      </c>
      <c r="E91" s="106">
        <f t="shared" si="12"/>
        <v>0.80379828297210154</v>
      </c>
      <c r="F91" s="60">
        <f>rate</f>
        <v>3.2737397821989145E-3</v>
      </c>
      <c r="G91" s="31">
        <f>IF(AND(B90&gt;=gracia,12*años+gracia-B90&gt;0,$L$2&lt;&gt;1),PMT(F90,12*años-B90+gracia,-K90),0)</f>
        <v>19.168720484415221</v>
      </c>
      <c r="H91" s="31">
        <f>IF(AND(12*años+gracia-B90&gt;0,$L$2&lt;&gt;1),K90*F91,0)</f>
        <v>12.117846181771757</v>
      </c>
      <c r="I91" s="31">
        <f>IF(AND(12*años+gracia-B90&gt;0,$L$2&lt;&gt;1),G91-H91,0)</f>
        <v>7.0508743026434644</v>
      </c>
      <c r="J91" s="62"/>
      <c r="K91" s="61">
        <f t="shared" si="13"/>
        <v>3694.4791763333324</v>
      </c>
      <c r="L91" s="61">
        <f>L90*(1+$J$17)^(1/12)</f>
        <v>5152.8772108180301</v>
      </c>
      <c r="M91" s="31">
        <f t="shared" si="14"/>
        <v>12</v>
      </c>
      <c r="N91" s="31">
        <f t="shared" si="15"/>
        <v>0</v>
      </c>
      <c r="O91" s="31">
        <f t="shared" si="16"/>
        <v>-2.25</v>
      </c>
      <c r="P91" s="62"/>
      <c r="Q91" s="31">
        <f t="shared" si="9"/>
        <v>-9.4187204844152213</v>
      </c>
      <c r="R91" s="31">
        <f>SUM($Q$36:Q91)</f>
        <v>-1113.4296266428355</v>
      </c>
      <c r="S91" s="83">
        <f>IF($L$2&lt;&gt;1,-(R91-$R$36)/B91*12/$Q$36,0)</f>
        <v>-0.18982977126802536</v>
      </c>
      <c r="T91" s="31">
        <f>SUMPRODUCT($Q$36:Q91,$E$36:E91)/E91-R91</f>
        <v>-205.10851676693892</v>
      </c>
      <c r="U91" s="31">
        <f t="shared" si="10"/>
        <v>344.96840784186224</v>
      </c>
      <c r="V91" s="31">
        <f t="shared" si="11"/>
        <v>940.36840784186222</v>
      </c>
      <c r="W91" s="80" cm="1">
        <f t="array" ref="W91">IF($L$2&lt;&gt;1,IRR(IF(ROW($Q$36:Q91)=ROW(Q91),Q91+L91-K91,$Q$36:Q91),W90/12)*12,0)</f>
        <v>7.5702112510811936E-2</v>
      </c>
      <c r="X91" s="83">
        <f>(1+W91/12)^(B91)-1</f>
        <v>0.41323043331988485</v>
      </c>
    </row>
    <row r="92" spans="2:25" x14ac:dyDescent="0.25">
      <c r="B92" s="33">
        <v>56</v>
      </c>
      <c r="C92" s="81">
        <f t="shared" si="7"/>
        <v>4.666666666666667</v>
      </c>
      <c r="D92" s="105">
        <f t="shared" si="8"/>
        <v>3.9789301544717048E-3</v>
      </c>
      <c r="E92" s="106">
        <f t="shared" si="12"/>
        <v>0.80061270095422177</v>
      </c>
      <c r="F92" s="60">
        <f>rate</f>
        <v>3.2737397821989145E-3</v>
      </c>
      <c r="G92" s="31">
        <f>IF(AND(B91&gt;=gracia,12*años+gracia-B91&gt;0,$L$2&lt;&gt;1),PMT(F91,12*años-B91+gracia,-K91),0)</f>
        <v>19.168720484415218</v>
      </c>
      <c r="H92" s="31">
        <f>IF(AND(12*años+gracia-B91&gt;0,$L$2&lt;&gt;1),K91*F92,0)</f>
        <v>12.094763454067909</v>
      </c>
      <c r="I92" s="31">
        <f>IF(AND(12*años+gracia-B91&gt;0,$L$2&lt;&gt;1),G92-H92,0)</f>
        <v>7.0739570303473087</v>
      </c>
      <c r="J92" s="62"/>
      <c r="K92" s="61">
        <f t="shared" si="13"/>
        <v>3687.4052193029852</v>
      </c>
      <c r="L92" s="61">
        <f>L91*(1+$J$17)^(1/12)</f>
        <v>5165.5855961234629</v>
      </c>
      <c r="M92" s="31">
        <f t="shared" si="14"/>
        <v>12</v>
      </c>
      <c r="N92" s="31">
        <f t="shared" si="15"/>
        <v>0</v>
      </c>
      <c r="O92" s="31">
        <f t="shared" si="16"/>
        <v>-2.25</v>
      </c>
      <c r="P92" s="62"/>
      <c r="Q92" s="31">
        <f t="shared" si="9"/>
        <v>-9.4187204844152177</v>
      </c>
      <c r="R92" s="31">
        <f>SUM($Q$36:Q92)</f>
        <v>-1122.8483471272507</v>
      </c>
      <c r="S92" s="83">
        <f>IF($L$2&lt;&gt;1,-(R92-$R$36)/B92*12/$Q$36,0)</f>
        <v>-0.18982977126802536</v>
      </c>
      <c r="T92" s="31">
        <f>SUMPRODUCT($Q$36:Q92,$E$36:E92)/E92-R92</f>
        <v>-210.35488794557341</v>
      </c>
      <c r="U92" s="31">
        <f t="shared" si="10"/>
        <v>355.33202969322701</v>
      </c>
      <c r="V92" s="31">
        <f t="shared" si="11"/>
        <v>950.73202969322699</v>
      </c>
      <c r="W92" s="80" cm="1">
        <f t="array" ref="W92">IF($L$2&lt;&gt;1,IRR(IF(ROW($Q$36:Q92)=ROW(Q92),Q92+L92-K92,$Q$36:Q92),W91/12)*12,0)</f>
        <v>7.5915562603138476E-2</v>
      </c>
      <c r="X92" s="83">
        <f>(1+W92/12)^(B92)-1</f>
        <v>0.42355421469837107</v>
      </c>
    </row>
    <row r="93" spans="2:25" x14ac:dyDescent="0.25">
      <c r="B93" s="33">
        <v>57</v>
      </c>
      <c r="C93" s="81">
        <f t="shared" si="7"/>
        <v>4.75</v>
      </c>
      <c r="D93" s="105">
        <f t="shared" si="8"/>
        <v>3.9789301544717048E-3</v>
      </c>
      <c r="E93" s="106">
        <f t="shared" si="12"/>
        <v>0.79743974391080086</v>
      </c>
      <c r="F93" s="60">
        <f>rate</f>
        <v>3.2737397821989145E-3</v>
      </c>
      <c r="G93" s="31">
        <f>IF(AND(B92&gt;=gracia,12*años+gracia-B92&gt;0,$L$2&lt;&gt;1),PMT(F92,12*años-B92+gracia,-K92),0)</f>
        <v>19.168720484415218</v>
      </c>
      <c r="H93" s="31">
        <f>IF(AND(12*años+gracia-B92&gt;0,$L$2&lt;&gt;1),K92*F93,0)</f>
        <v>12.071605159520095</v>
      </c>
      <c r="I93" s="31">
        <f>IF(AND(12*años+gracia-B92&gt;0,$L$2&lt;&gt;1),G93-H93,0)</f>
        <v>7.0971153248951229</v>
      </c>
      <c r="J93" s="62"/>
      <c r="K93" s="61">
        <f t="shared" si="13"/>
        <v>3680.30810397809</v>
      </c>
      <c r="L93" s="61">
        <f>L92*(1+$J$17)^(1/12)</f>
        <v>5178.3253237354293</v>
      </c>
      <c r="M93" s="31">
        <f t="shared" si="14"/>
        <v>12</v>
      </c>
      <c r="N93" s="31">
        <f t="shared" si="15"/>
        <v>0</v>
      </c>
      <c r="O93" s="31">
        <f t="shared" si="16"/>
        <v>-2.25</v>
      </c>
      <c r="P93" s="62"/>
      <c r="Q93" s="31">
        <f t="shared" si="9"/>
        <v>-9.4187204844152177</v>
      </c>
      <c r="R93" s="31">
        <f>SUM($Q$36:Q93)</f>
        <v>-1132.2670676116659</v>
      </c>
      <c r="S93" s="83">
        <f>IF($L$2&lt;&gt;1,-(R93-$R$36)/B93*12/$Q$36,0)</f>
        <v>-0.18982977126802536</v>
      </c>
      <c r="T93" s="31">
        <f>SUMPRODUCT($Q$36:Q93,$E$36:E93)/E93-R93</f>
        <v>-215.65961049964403</v>
      </c>
      <c r="U93" s="31">
        <f t="shared" si="10"/>
        <v>365.75015214567338</v>
      </c>
      <c r="V93" s="31">
        <f t="shared" si="11"/>
        <v>961.15015214567336</v>
      </c>
      <c r="W93" s="80" cm="1">
        <f t="array" ref="W93">IF($L$2&lt;&gt;1,IRR(IF(ROW($Q$36:Q93)=ROW(Q93),Q93+L93-K93,$Q$36:Q93),W92/12)*12,0)</f>
        <v>7.6105628703759365E-2</v>
      </c>
      <c r="X93" s="83">
        <f>(1+W93/12)^(B93)-1</f>
        <v>0.43384581248644705</v>
      </c>
    </row>
    <row r="94" spans="2:25" x14ac:dyDescent="0.25">
      <c r="B94" s="33">
        <v>58</v>
      </c>
      <c r="C94" s="81">
        <f t="shared" si="7"/>
        <v>4.833333333333333</v>
      </c>
      <c r="D94" s="105">
        <f t="shared" si="8"/>
        <v>3.9789301544717048E-3</v>
      </c>
      <c r="E94" s="106">
        <f t="shared" si="12"/>
        <v>0.79427936180703229</v>
      </c>
      <c r="F94" s="60">
        <f>rate</f>
        <v>3.2737397821989145E-3</v>
      </c>
      <c r="G94" s="31">
        <f>IF(AND(B93&gt;=gracia,12*años+gracia-B93&gt;0,$L$2&lt;&gt;1),PMT(F93,12*años-B93+gracia,-K93),0)</f>
        <v>19.168720484415218</v>
      </c>
      <c r="H94" s="31">
        <f>IF(AND(12*años+gracia-B93&gt;0,$L$2&lt;&gt;1),K93*F94,0)</f>
        <v>12.048371050742132</v>
      </c>
      <c r="I94" s="31">
        <f>IF(AND(12*años+gracia-B93&gt;0,$L$2&lt;&gt;1),G94-H94,0)</f>
        <v>7.1203494336730859</v>
      </c>
      <c r="J94" s="62"/>
      <c r="K94" s="61">
        <f t="shared" si="13"/>
        <v>3673.1877545444167</v>
      </c>
      <c r="L94" s="61">
        <f>L93*(1+$J$17)^(1/12)</f>
        <v>5191.0964709525124</v>
      </c>
      <c r="M94" s="31">
        <f t="shared" si="14"/>
        <v>12</v>
      </c>
      <c r="N94" s="31">
        <f t="shared" si="15"/>
        <v>0</v>
      </c>
      <c r="O94" s="31">
        <f t="shared" si="16"/>
        <v>-2.25</v>
      </c>
      <c r="P94" s="62"/>
      <c r="Q94" s="31">
        <f t="shared" si="9"/>
        <v>-9.4187204844152177</v>
      </c>
      <c r="R94" s="31">
        <f>SUM($Q$36:Q94)</f>
        <v>-1141.6857880960811</v>
      </c>
      <c r="S94" s="83">
        <f>IF($L$2&lt;&gt;1,-(R94-$R$36)/B94*12/$Q$36,0)</f>
        <v>-0.18982977126802536</v>
      </c>
      <c r="T94" s="31">
        <f>SUMPRODUCT($Q$36:Q94,$E$36:E94)/E94-R94</f>
        <v>-221.02291660519791</v>
      </c>
      <c r="U94" s="31">
        <f t="shared" si="10"/>
        <v>376.22292831201412</v>
      </c>
      <c r="V94" s="31">
        <f t="shared" si="11"/>
        <v>971.6229283120141</v>
      </c>
      <c r="W94" s="80" cm="1">
        <f t="array" ref="W94">IF($L$2&lt;&gt;1,IRR(IF(ROW($Q$36:Q94)=ROW(Q94),Q94+L94-K94,$Q$36:Q94),W93/12)*12,0)</f>
        <v>7.6273904621037225E-2</v>
      </c>
      <c r="X94" s="83">
        <f>(1+W94/12)^(B94)-1</f>
        <v>0.44410611547438461</v>
      </c>
    </row>
    <row r="95" spans="2:25" x14ac:dyDescent="0.25">
      <c r="B95" s="33">
        <v>59</v>
      </c>
      <c r="C95" s="81">
        <f t="shared" si="7"/>
        <v>4.916666666666667</v>
      </c>
      <c r="D95" s="105">
        <f t="shared" si="8"/>
        <v>3.9789301544717048E-3</v>
      </c>
      <c r="E95" s="106">
        <f t="shared" si="12"/>
        <v>0.79113150480640548</v>
      </c>
      <c r="F95" s="60">
        <f>rate</f>
        <v>3.2737397821989145E-3</v>
      </c>
      <c r="G95" s="31">
        <f>IF(AND(B94&gt;=gracia,12*años+gracia-B94&gt;0,$L$2&lt;&gt;1),PMT(F94,12*años-B94+gracia,-K94),0)</f>
        <v>19.168720484415214</v>
      </c>
      <c r="H95" s="31">
        <f>IF(AND(12*años+gracia-B94&gt;0,$L$2&lt;&gt;1),K94*F95,0)</f>
        <v>12.025060879537959</v>
      </c>
      <c r="I95" s="31">
        <f>IF(AND(12*años+gracia-B94&gt;0,$L$2&lt;&gt;1),G95-H95,0)</f>
        <v>7.1436596048772554</v>
      </c>
      <c r="J95" s="62"/>
      <c r="K95" s="61">
        <f t="shared" si="13"/>
        <v>3666.0440949395397</v>
      </c>
      <c r="L95" s="61">
        <f>L94*(1+$J$17)^(1/12)</f>
        <v>5203.8991152639346</v>
      </c>
      <c r="M95" s="31">
        <f t="shared" si="14"/>
        <v>12</v>
      </c>
      <c r="N95" s="31">
        <f t="shared" si="15"/>
        <v>0</v>
      </c>
      <c r="O95" s="31">
        <f t="shared" si="16"/>
        <v>-2.25</v>
      </c>
      <c r="P95" s="62"/>
      <c r="Q95" s="31">
        <f t="shared" si="9"/>
        <v>-9.4187204844152141</v>
      </c>
      <c r="R95" s="31">
        <f>SUM($Q$36:Q95)</f>
        <v>-1151.1045085804963</v>
      </c>
      <c r="S95" s="83">
        <f>IF($L$2&lt;&gt;1,-(R95-$R$36)/B95*12/$Q$36,0)</f>
        <v>-0.18982977126802536</v>
      </c>
      <c r="T95" s="31">
        <f>SUMPRODUCT($Q$36:Q95,$E$36:E95)/E95-R95</f>
        <v>-226.44503936209503</v>
      </c>
      <c r="U95" s="31">
        <f t="shared" si="10"/>
        <v>386.75051174389864</v>
      </c>
      <c r="V95" s="31">
        <f t="shared" si="11"/>
        <v>982.15051174389862</v>
      </c>
      <c r="W95" s="80" cm="1">
        <f t="array" ref="W95">IF($L$2&lt;&gt;1,IRR(IF(ROW($Q$36:Q95)=ROW(Q95),Q95+L95-K95,$Q$36:Q95),W94/12)*12,0)</f>
        <v>7.6421863304886095E-2</v>
      </c>
      <c r="X95" s="83">
        <f>(1+W95/12)^(B95)-1</f>
        <v>0.45433599103215627</v>
      </c>
    </row>
    <row r="96" spans="2:25" x14ac:dyDescent="0.25">
      <c r="B96" s="33">
        <v>60</v>
      </c>
      <c r="C96" s="81">
        <f t="shared" si="7"/>
        <v>5</v>
      </c>
      <c r="D96" s="105">
        <f t="shared" si="8"/>
        <v>3.9789301544717048E-3</v>
      </c>
      <c r="E96" s="106">
        <f t="shared" si="12"/>
        <v>0.78799612326991997</v>
      </c>
      <c r="F96" s="60">
        <f>rate</f>
        <v>3.2737397821989145E-3</v>
      </c>
      <c r="G96" s="31">
        <f>IF(AND(B95&gt;=gracia,12*años+gracia-B95&gt;0,$L$2&lt;&gt;1),PMT(F95,12*años-B95+gracia,-K95),0)</f>
        <v>19.168720484415225</v>
      </c>
      <c r="H96" s="31">
        <f>IF(AND(12*años+gracia-B95&gt;0,$L$2&lt;&gt;1),K95*F96,0)</f>
        <v>12.001674396898986</v>
      </c>
      <c r="I96" s="31">
        <f>IF(AND(12*años+gracia-B95&gt;0,$L$2&lt;&gt;1),G96-H96,0)</f>
        <v>7.1670460875162387</v>
      </c>
      <c r="J96" s="62"/>
      <c r="K96" s="61">
        <f t="shared" si="13"/>
        <v>3658.8770488520236</v>
      </c>
      <c r="L96" s="61">
        <f>L95*(1+$J$17)^(1/12)</f>
        <v>5216.7333343500277</v>
      </c>
      <c r="M96" s="31">
        <f t="shared" si="14"/>
        <v>12</v>
      </c>
      <c r="N96" s="31">
        <f t="shared" si="15"/>
        <v>0</v>
      </c>
      <c r="O96" s="31">
        <f t="shared" si="16"/>
        <v>-2.25</v>
      </c>
      <c r="P96" s="62"/>
      <c r="Q96" s="31">
        <f t="shared" si="9"/>
        <v>-9.4187204844152248</v>
      </c>
      <c r="R96" s="31">
        <f>SUM($Q$36:Q96)</f>
        <v>-1160.5232290649114</v>
      </c>
      <c r="S96" s="83">
        <f>IF($L$2&lt;&gt;1,-(R96-$R$36)/B96*12/$Q$36,0)</f>
        <v>-0.18982977126802536</v>
      </c>
      <c r="T96" s="31">
        <f>SUMPRODUCT($Q$36:Q96,$E$36:E96)/E96-R96</f>
        <v>-231.92621279768287</v>
      </c>
      <c r="U96" s="31">
        <f t="shared" si="10"/>
        <v>397.33305643309268</v>
      </c>
      <c r="V96" s="31">
        <f t="shared" si="11"/>
        <v>992.73305643309266</v>
      </c>
      <c r="W96" s="80" cm="1">
        <f t="array" ref="W96">IF($L$2&lt;&gt;1,IRR(IF(ROW($Q$36:Q96)=ROW(Q96),Q96+L96-K96,$Q$36:Q96),W95/12)*12,0)</f>
        <v>7.6550867462716887E-2</v>
      </c>
      <c r="X96" s="83">
        <f>(1+W96/12)^(B96)-1</f>
        <v>0.46453628584864304</v>
      </c>
      <c r="Y96" s="31"/>
    </row>
    <row r="97" spans="2:24" x14ac:dyDescent="0.25">
      <c r="B97" s="33">
        <v>61</v>
      </c>
      <c r="C97" s="81">
        <f t="shared" si="7"/>
        <v>5.083333333333333</v>
      </c>
      <c r="D97" s="105">
        <f t="shared" si="8"/>
        <v>3.9789301544717048E-3</v>
      </c>
      <c r="E97" s="106">
        <f t="shared" si="12"/>
        <v>0.78487316775530269</v>
      </c>
      <c r="F97" s="60">
        <f>rate</f>
        <v>3.2737397821989145E-3</v>
      </c>
      <c r="G97" s="31">
        <f>IF(AND(B96&gt;=gracia,12*años+gracia-B96&gt;0,$L$2&lt;&gt;1),PMT(F96,12*años-B96+gracia,-K96),0)</f>
        <v>19.168720484415221</v>
      </c>
      <c r="H97" s="31">
        <f>IF(AND(12*años+gracia-B96&gt;0,$L$2&lt;&gt;1),K96*F97,0)</f>
        <v>11.978211353001431</v>
      </c>
      <c r="I97" s="31">
        <f>IF(AND(12*años+gracia-B96&gt;0,$L$2&lt;&gt;1),G97-H97,0)</f>
        <v>7.1905091314137906</v>
      </c>
      <c r="J97" s="62"/>
      <c r="K97" s="61">
        <f t="shared" si="13"/>
        <v>3651.6865397206097</v>
      </c>
      <c r="L97" s="61">
        <f>L96*(1+$J$17)^(1/12)</f>
        <v>5229.5992060827039</v>
      </c>
      <c r="M97" s="31">
        <f t="shared" si="14"/>
        <v>12</v>
      </c>
      <c r="N97" s="31">
        <f t="shared" si="15"/>
        <v>0</v>
      </c>
      <c r="O97" s="31">
        <f t="shared" si="16"/>
        <v>-2.25</v>
      </c>
      <c r="P97" s="62"/>
      <c r="Q97" s="31">
        <f t="shared" si="9"/>
        <v>-9.4187204844152213</v>
      </c>
      <c r="R97" s="31">
        <f>SUM($Q$36:Q97)</f>
        <v>-1169.9419495493266</v>
      </c>
      <c r="S97" s="83">
        <f>IF($L$2&lt;&gt;1,-(R97-$R$36)/B97*12/$Q$36,0)</f>
        <v>-0.18982977126802536</v>
      </c>
      <c r="T97" s="31">
        <f>SUMPRODUCT($Q$36:Q97,$E$36:E97)/E97-R97</f>
        <v>-237.46667187048706</v>
      </c>
      <c r="U97" s="31">
        <f t="shared" si="10"/>
        <v>407.97071681276702</v>
      </c>
      <c r="V97" s="31">
        <f t="shared" si="11"/>
        <v>1003.370716812767</v>
      </c>
      <c r="W97" s="80" cm="1">
        <f t="array" ref="W97">IF($L$2&lt;&gt;1,IRR(IF(ROW($Q$36:Q97)=ROW(Q97),Q97+L97-K97,$Q$36:Q97),W96/12)*12,0)</f>
        <v>7.6662179103267114E-2</v>
      </c>
      <c r="X97" s="83">
        <f>(1+W97/12)^(B97)-1</f>
        <v>0.47470782663790967</v>
      </c>
    </row>
    <row r="98" spans="2:24" x14ac:dyDescent="0.25">
      <c r="B98" s="33">
        <v>62</v>
      </c>
      <c r="C98" s="81">
        <f t="shared" si="7"/>
        <v>5.166666666666667</v>
      </c>
      <c r="D98" s="105">
        <f t="shared" si="8"/>
        <v>3.9789301544717048E-3</v>
      </c>
      <c r="E98" s="106">
        <f t="shared" si="12"/>
        <v>0.78176258901622819</v>
      </c>
      <c r="F98" s="60">
        <f>rate</f>
        <v>3.2737397821989145E-3</v>
      </c>
      <c r="G98" s="31">
        <f>IF(AND(B97&gt;=gracia,12*años+gracia-B97&gt;0,$L$2&lt;&gt;1),PMT(F97,12*años-B97+gracia,-K97),0)</f>
        <v>19.168720484415221</v>
      </c>
      <c r="H98" s="31">
        <f>IF(AND(12*años+gracia-B97&gt;0,$L$2&lt;&gt;1),K97*F98,0)</f>
        <v>11.954671497203657</v>
      </c>
      <c r="I98" s="31">
        <f>IF(AND(12*años+gracia-B97&gt;0,$L$2&lt;&gt;1),G98-H98,0)</f>
        <v>7.2140489872115641</v>
      </c>
      <c r="J98" s="62"/>
      <c r="K98" s="61">
        <f t="shared" si="13"/>
        <v>3644.472490733398</v>
      </c>
      <c r="L98" s="61">
        <f>L97*(1+$J$17)^(1/12)</f>
        <v>5242.4968085259288</v>
      </c>
      <c r="M98" s="31">
        <f t="shared" si="14"/>
        <v>12</v>
      </c>
      <c r="N98" s="31">
        <f t="shared" si="15"/>
        <v>0</v>
      </c>
      <c r="O98" s="31">
        <f t="shared" si="16"/>
        <v>-2.25</v>
      </c>
      <c r="P98" s="62"/>
      <c r="Q98" s="31">
        <f t="shared" si="9"/>
        <v>-9.4187204844152213</v>
      </c>
      <c r="R98" s="31">
        <f>SUM($Q$36:Q98)</f>
        <v>-1179.3606700337418</v>
      </c>
      <c r="S98" s="83">
        <f>IF($L$2&lt;&gt;1,-(R98-$R$36)/B98*12/$Q$36,0)</f>
        <v>-0.18982977126802536</v>
      </c>
      <c r="T98" s="31">
        <f>SUMPRODUCT($Q$36:Q98,$E$36:E98)/E98-R98</f>
        <v>-243.06665247391788</v>
      </c>
      <c r="U98" s="31">
        <f t="shared" si="10"/>
        <v>418.66364775878901</v>
      </c>
      <c r="V98" s="31">
        <f t="shared" si="11"/>
        <v>1014.063647758789</v>
      </c>
      <c r="W98" s="80" cm="1">
        <f t="array" ref="W98">IF($L$2&lt;&gt;1,IRR(IF(ROW($Q$36:Q98)=ROW(Q98),Q98+L98-K98,$Q$36:Q98),W97/12)*12,0)</f>
        <v>7.6756968131117986E-2</v>
      </c>
      <c r="X98" s="83">
        <f>(1+W98/12)^(B98)-1</f>
        <v>0.48485142081529253</v>
      </c>
    </row>
    <row r="99" spans="2:24" x14ac:dyDescent="0.25">
      <c r="B99" s="33">
        <v>63</v>
      </c>
      <c r="C99" s="81">
        <f t="shared" si="7"/>
        <v>5.25</v>
      </c>
      <c r="D99" s="105">
        <f t="shared" si="8"/>
        <v>3.9789301544717048E-3</v>
      </c>
      <c r="E99" s="106">
        <f t="shared" si="12"/>
        <v>0.77866433800154211</v>
      </c>
      <c r="F99" s="60">
        <f>rate</f>
        <v>3.2737397821989145E-3</v>
      </c>
      <c r="G99" s="31">
        <f>IF(AND(B98&gt;=gracia,12*años+gracia-B98&gt;0,$L$2&lt;&gt;1),PMT(F98,12*años-B98+gracia,-K98),0)</f>
        <v>19.168720484415225</v>
      </c>
      <c r="H99" s="31">
        <f>IF(AND(12*años+gracia-B98&gt;0,$L$2&lt;&gt;1),K98*F99,0)</f>
        <v>11.93105457804349</v>
      </c>
      <c r="I99" s="31">
        <f>IF(AND(12*años+gracia-B98&gt;0,$L$2&lt;&gt;1),G99-H99,0)</f>
        <v>7.2376659063717348</v>
      </c>
      <c r="J99" s="62"/>
      <c r="K99" s="61">
        <f t="shared" si="13"/>
        <v>3637.2348248270264</v>
      </c>
      <c r="L99" s="61">
        <f>L98*(1+$J$17)^(1/12)</f>
        <v>5255.4262199361947</v>
      </c>
      <c r="M99" s="31">
        <f t="shared" si="14"/>
        <v>12</v>
      </c>
      <c r="N99" s="31">
        <f t="shared" si="15"/>
        <v>0</v>
      </c>
      <c r="O99" s="31">
        <f t="shared" si="16"/>
        <v>-2.25</v>
      </c>
      <c r="P99" s="62"/>
      <c r="Q99" s="31">
        <f t="shared" si="9"/>
        <v>-9.4187204844152248</v>
      </c>
      <c r="R99" s="31">
        <f>SUM($Q$36:Q99)</f>
        <v>-1188.779390518157</v>
      </c>
      <c r="S99" s="83">
        <f>IF($L$2&lt;&gt;1,-(R99-$R$36)/B99*12/$Q$36,0)</f>
        <v>-0.18982977126802536</v>
      </c>
      <c r="T99" s="31">
        <f>SUMPRODUCT($Q$36:Q99,$E$36:E99)/E99-R99</f>
        <v>-248.72639143998799</v>
      </c>
      <c r="U99" s="31">
        <f t="shared" si="10"/>
        <v>429.41200459101128</v>
      </c>
      <c r="V99" s="31">
        <f t="shared" si="11"/>
        <v>1024.8120045910114</v>
      </c>
      <c r="W99" s="80" cm="1">
        <f t="array" ref="W99">IF($L$2&lt;&gt;1,IRR(IF(ROW($Q$36:Q99)=ROW(Q99),Q99+L99-K99,$Q$36:Q99),W98/12)*12,0)</f>
        <v>7.6836320098778721E-2</v>
      </c>
      <c r="X99" s="83">
        <f>(1+W99/12)^(B99)-1</f>
        <v>0.49496785714405744</v>
      </c>
    </row>
    <row r="100" spans="2:24" x14ac:dyDescent="0.25">
      <c r="B100" s="33">
        <v>64</v>
      </c>
      <c r="C100" s="81">
        <f t="shared" si="7"/>
        <v>5.333333333333333</v>
      </c>
      <c r="D100" s="105">
        <f t="shared" si="8"/>
        <v>3.9789301544717048E-3</v>
      </c>
      <c r="E100" s="106">
        <f t="shared" si="12"/>
        <v>0.77557836585448781</v>
      </c>
      <c r="F100" s="60">
        <f>rate</f>
        <v>3.2737397821989145E-3</v>
      </c>
      <c r="G100" s="31">
        <f>IF(AND(B99&gt;=gracia,12*años+gracia-B99&gt;0,$L$2&lt;&gt;1),PMT(F99,12*años-B99+gracia,-K99),0)</f>
        <v>19.168720484415221</v>
      </c>
      <c r="H100" s="31">
        <f>IF(AND(12*años+gracia-B99&gt;0,$L$2&lt;&gt;1),K99*F100,0)</f>
        <v>11.907360343235537</v>
      </c>
      <c r="I100" s="31">
        <f>IF(AND(12*años+gracia-B99&gt;0,$L$2&lt;&gt;1),G100-H100,0)</f>
        <v>7.2613601411796846</v>
      </c>
      <c r="J100" s="62"/>
      <c r="K100" s="61">
        <f t="shared" si="13"/>
        <v>3629.9734646858469</v>
      </c>
      <c r="L100" s="61">
        <f>L99*(1+$J$17)^(1/12)</f>
        <v>5268.3875187629956</v>
      </c>
      <c r="M100" s="31">
        <f t="shared" si="14"/>
        <v>12</v>
      </c>
      <c r="N100" s="31">
        <f t="shared" si="15"/>
        <v>0</v>
      </c>
      <c r="O100" s="31">
        <f t="shared" si="16"/>
        <v>-2.25</v>
      </c>
      <c r="P100" s="62"/>
      <c r="Q100" s="31">
        <f t="shared" si="9"/>
        <v>-9.4187204844152213</v>
      </c>
      <c r="R100" s="31">
        <f>SUM($Q$36:Q100)</f>
        <v>-1198.1981110025722</v>
      </c>
      <c r="S100" s="83">
        <f>IF($L$2&lt;&gt;1,-(R100-$R$36)/B100*12/$Q$36,0)</f>
        <v>-0.18982977126802536</v>
      </c>
      <c r="T100" s="31">
        <f>SUMPRODUCT($Q$36:Q100,$E$36:E100)/E100-R100</f>
        <v>-254.44612654304865</v>
      </c>
      <c r="U100" s="31">
        <f t="shared" si="10"/>
        <v>440.2159430745769</v>
      </c>
      <c r="V100" s="31">
        <f t="shared" si="11"/>
        <v>1035.615943074577</v>
      </c>
      <c r="W100" s="80" cm="1">
        <f t="array" ref="W100">IF($L$2&lt;&gt;1,IRR(IF(ROW($Q$36:Q100)=ROW(Q100),Q100+L100-K100,$Q$36:Q100),W99/12)*12,0)</f>
        <v>7.6901243209919201E-2</v>
      </c>
      <c r="X100" s="83">
        <f>(1+W100/12)^(B100)-1</f>
        <v>0.50505790635469339</v>
      </c>
    </row>
    <row r="101" spans="2:24" x14ac:dyDescent="0.25">
      <c r="B101" s="33">
        <v>65</v>
      </c>
      <c r="C101" s="81">
        <f t="shared" ref="C101:C164" si="17">B101/12</f>
        <v>5.416666666666667</v>
      </c>
      <c r="D101" s="105">
        <f t="shared" ref="D101:D164" si="18">(1+$E$3/360)^30-1-((1+$E$4)^(1/12)-1)</f>
        <v>3.9789301544717048E-3</v>
      </c>
      <c r="E101" s="106">
        <f t="shared" si="12"/>
        <v>0.77250462391193575</v>
      </c>
      <c r="F101" s="60">
        <f>rate</f>
        <v>3.2737397821989145E-3</v>
      </c>
      <c r="G101" s="31">
        <f>IF(AND(B100&gt;=gracia,12*años+gracia-B100&gt;0,$L$2&lt;&gt;1),PMT(F100,12*años-B100+gracia,-K100),0)</f>
        <v>19.168720484415225</v>
      </c>
      <c r="H101" s="31">
        <f>IF(AND(12*años+gracia-B100&gt;0,$L$2&lt;&gt;1),K100*F101,0)</f>
        <v>11.883588539668484</v>
      </c>
      <c r="I101" s="31">
        <f>IF(AND(12*años+gracia-B100&gt;0,$L$2&lt;&gt;1),G101-H101,0)</f>
        <v>7.2851319447467411</v>
      </c>
      <c r="J101" s="62"/>
      <c r="K101" s="61">
        <f t="shared" si="13"/>
        <v>3622.6883327411001</v>
      </c>
      <c r="L101" s="61">
        <f>L100*(1+$J$17)^(1/12)</f>
        <v>5281.3807836493024</v>
      </c>
      <c r="M101" s="31">
        <f t="shared" si="14"/>
        <v>12</v>
      </c>
      <c r="N101" s="31">
        <f t="shared" si="15"/>
        <v>0</v>
      </c>
      <c r="O101" s="31">
        <f t="shared" si="16"/>
        <v>-2.25</v>
      </c>
      <c r="P101" s="62"/>
      <c r="Q101" s="31">
        <f t="shared" ref="Q101:Q164" si="19">P101+O101+N101+M101-J101-G101</f>
        <v>-9.4187204844152248</v>
      </c>
      <c r="R101" s="31">
        <f>SUM($Q$36:Q101)</f>
        <v>-1207.6168314869874</v>
      </c>
      <c r="S101" s="83">
        <f>IF($L$2&lt;&gt;1,-(R101-$R$36)/B101*12/$Q$36,0)</f>
        <v>-0.18982977126802536</v>
      </c>
      <c r="T101" s="31">
        <f>SUMPRODUCT($Q$36:Q101,$E$36:E101)/E101-R101</f>
        <v>-260.22609650353843</v>
      </c>
      <c r="U101" s="31">
        <f t="shared" ref="U101:U164" si="20">R101-K101+L101</f>
        <v>451.07561942121447</v>
      </c>
      <c r="V101" s="31">
        <f t="shared" ref="V101:V164" si="21">IF($L$2&lt;&gt;1,U101+$E$30,U101)</f>
        <v>1046.4756194212146</v>
      </c>
      <c r="W101" s="80" cm="1">
        <f t="array" ref="W101">IF($L$2&lt;&gt;1,IRR(IF(ROW($Q$36:Q101)=ROW(Q101),Q101+L101-K101,$Q$36:Q101),W100/12)*12,0)</f>
        <v>7.6952674655669462E-2</v>
      </c>
      <c r="X101" s="83">
        <f>(1+W101/12)^(B101)-1</f>
        <v>0.51512232173820482</v>
      </c>
    </row>
    <row r="102" spans="2:24" x14ac:dyDescent="0.25">
      <c r="B102" s="33">
        <v>66</v>
      </c>
      <c r="C102" s="81">
        <f t="shared" si="17"/>
        <v>5.5</v>
      </c>
      <c r="D102" s="105">
        <f t="shared" si="18"/>
        <v>3.9789301544717048E-3</v>
      </c>
      <c r="E102" s="106">
        <f t="shared" ref="E102:E165" si="22">E101/(1+D102)</f>
        <v>0.76944306370361637</v>
      </c>
      <c r="F102" s="60">
        <f>rate</f>
        <v>3.2737397821989145E-3</v>
      </c>
      <c r="G102" s="31">
        <f>IF(AND(B101&gt;=gracia,12*años+gracia-B101&gt;0,$L$2&lt;&gt;1),PMT(F101,12*años-B101+gracia,-K101),0)</f>
        <v>19.168720484415225</v>
      </c>
      <c r="H102" s="31">
        <f>IF(AND(12*años+gracia-B101&gt;0,$L$2&lt;&gt;1),K101*F102,0)</f>
        <v>11.859738913402397</v>
      </c>
      <c r="I102" s="31">
        <f>IF(AND(12*años+gracia-B101&gt;0,$L$2&lt;&gt;1),G102-H102,0)</f>
        <v>7.3089815710128274</v>
      </c>
      <c r="J102" s="62"/>
      <c r="K102" s="61">
        <f t="shared" ref="K102:K165" si="23">K101-I102-J102</f>
        <v>3615.3793511700874</v>
      </c>
      <c r="L102" s="61">
        <f>L101*(1+$J$17)^(1/12)</f>
        <v>5294.4060934320423</v>
      </c>
      <c r="M102" s="31">
        <f t="shared" ref="M102:M165" si="24">IF($L$2=3,$J$7*$J$16,0)</f>
        <v>12</v>
      </c>
      <c r="N102" s="31">
        <f t="shared" ref="N102:N165" si="25">-$J$28</f>
        <v>0</v>
      </c>
      <c r="O102" s="31">
        <f t="shared" ref="O102:O165" si="26">IF($L$2&lt;&gt;1,-$E$17-$E$18,0)</f>
        <v>-2.25</v>
      </c>
      <c r="P102" s="62"/>
      <c r="Q102" s="31">
        <f t="shared" si="19"/>
        <v>-9.4187204844152248</v>
      </c>
      <c r="R102" s="31">
        <f>SUM($Q$36:Q102)</f>
        <v>-1217.0355519714026</v>
      </c>
      <c r="S102" s="83">
        <f>IF($L$2&lt;&gt;1,-(R102-$R$36)/B102*12/$Q$36,0)</f>
        <v>-0.18982977126802536</v>
      </c>
      <c r="T102" s="31">
        <f>SUMPRODUCT($Q$36:Q102,$E$36:E102)/E102-R102</f>
        <v>-266.06654099174807</v>
      </c>
      <c r="U102" s="31">
        <f t="shared" si="20"/>
        <v>461.99119029055237</v>
      </c>
      <c r="V102" s="31">
        <f t="shared" si="21"/>
        <v>1057.3911902905525</v>
      </c>
      <c r="W102" s="80" cm="1">
        <f t="array" ref="W102">IF($L$2&lt;&gt;1,IRR(IF(ROW($Q$36:Q102)=ROW(Q102),Q102+L102-K102,$Q$36:Q102),W101/12)*12,0)</f>
        <v>7.6991486355861838E-2</v>
      </c>
      <c r="X102" s="83">
        <f>(1+W102/12)^(B102)-1</f>
        <v>0.52516183971456076</v>
      </c>
    </row>
    <row r="103" spans="2:24" x14ac:dyDescent="0.25">
      <c r="B103" s="33">
        <v>67</v>
      </c>
      <c r="C103" s="81">
        <f t="shared" si="17"/>
        <v>5.583333333333333</v>
      </c>
      <c r="D103" s="105">
        <f t="shared" si="18"/>
        <v>3.9789301544717048E-3</v>
      </c>
      <c r="E103" s="106">
        <f t="shared" si="22"/>
        <v>0.76639363695135543</v>
      </c>
      <c r="F103" s="60">
        <f>rate</f>
        <v>3.2737397821989145E-3</v>
      </c>
      <c r="G103" s="31">
        <f>IF(AND(B102&gt;=gracia,12*años+gracia-B102&gt;0,$L$2&lt;&gt;1),PMT(F102,12*años-B102+gracia,-K102),0)</f>
        <v>19.168720484415218</v>
      </c>
      <c r="H103" s="31">
        <f>IF(AND(12*años+gracia-B102&gt;0,$L$2&lt;&gt;1),K102*F103,0)</f>
        <v>11.835811209666014</v>
      </c>
      <c r="I103" s="31">
        <f>IF(AND(12*años+gracia-B102&gt;0,$L$2&lt;&gt;1),G103-H103,0)</f>
        <v>7.3329092747492037</v>
      </c>
      <c r="J103" s="62"/>
      <c r="K103" s="61">
        <f t="shared" si="23"/>
        <v>3608.0464418953384</v>
      </c>
      <c r="L103" s="61">
        <f>L102*(1+$J$17)^(1/12)</f>
        <v>5307.4635271425741</v>
      </c>
      <c r="M103" s="31">
        <f t="shared" si="24"/>
        <v>12</v>
      </c>
      <c r="N103" s="31">
        <f t="shared" si="25"/>
        <v>0</v>
      </c>
      <c r="O103" s="31">
        <f t="shared" si="26"/>
        <v>-2.25</v>
      </c>
      <c r="P103" s="62"/>
      <c r="Q103" s="31">
        <f t="shared" si="19"/>
        <v>-9.4187204844152177</v>
      </c>
      <c r="R103" s="31">
        <f>SUM($Q$36:Q103)</f>
        <v>-1226.4542724558178</v>
      </c>
      <c r="S103" s="83">
        <f>IF($L$2&lt;&gt;1,-(R103-$R$36)/B103*12/$Q$36,0)</f>
        <v>-0.18982977126802536</v>
      </c>
      <c r="T103" s="31">
        <f>SUMPRODUCT($Q$36:Q103,$E$36:E103)/E103-R103</f>
        <v>-271.9677006315992</v>
      </c>
      <c r="U103" s="31">
        <f t="shared" si="20"/>
        <v>472.9628127914184</v>
      </c>
      <c r="V103" s="31">
        <f t="shared" si="21"/>
        <v>1068.3628127914185</v>
      </c>
      <c r="W103" s="80" cm="1">
        <f t="array" ref="W103">IF($L$2&lt;&gt;1,IRR(IF(ROW($Q$36:Q103)=ROW(Q103),Q103+L103-K103,$Q$36:Q103),W102/12)*12,0)</f>
        <v>7.701849016851714E-2</v>
      </c>
      <c r="X103" s="83">
        <f>(1+W103/12)^(B103)-1</f>
        <v>0.53517718037779027</v>
      </c>
    </row>
    <row r="104" spans="2:24" x14ac:dyDescent="0.25">
      <c r="B104" s="33">
        <v>68</v>
      </c>
      <c r="C104" s="81">
        <f t="shared" si="17"/>
        <v>5.666666666666667</v>
      </c>
      <c r="D104" s="105">
        <f t="shared" si="18"/>
        <v>3.9789301544717048E-3</v>
      </c>
      <c r="E104" s="106">
        <f t="shared" si="22"/>
        <v>0.76335629556831286</v>
      </c>
      <c r="F104" s="60">
        <f>rate</f>
        <v>3.2737397821989145E-3</v>
      </c>
      <c r="G104" s="31">
        <f>IF(AND(B103&gt;=gracia,12*años+gracia-B103&gt;0,$L$2&lt;&gt;1),PMT(F103,12*años-B103+gracia,-K103),0)</f>
        <v>19.168720484415225</v>
      </c>
      <c r="H104" s="31">
        <f>IF(AND(12*años+gracia-B103&gt;0,$L$2&lt;&gt;1),K103*F104,0)</f>
        <v>11.811805172854013</v>
      </c>
      <c r="I104" s="31">
        <f>IF(AND(12*años+gracia-B103&gt;0,$L$2&lt;&gt;1),G104-H104,0)</f>
        <v>7.3569153115612114</v>
      </c>
      <c r="J104" s="62"/>
      <c r="K104" s="61">
        <f t="shared" si="23"/>
        <v>3600.689526583777</v>
      </c>
      <c r="L104" s="61">
        <f>L103*(1+$J$17)^(1/12)</f>
        <v>5320.5531640071704</v>
      </c>
      <c r="M104" s="31">
        <f t="shared" si="24"/>
        <v>12</v>
      </c>
      <c r="N104" s="31">
        <f t="shared" si="25"/>
        <v>0</v>
      </c>
      <c r="O104" s="31">
        <f t="shared" si="26"/>
        <v>-2.25</v>
      </c>
      <c r="P104" s="62"/>
      <c r="Q104" s="31">
        <f t="shared" si="19"/>
        <v>-9.4187204844152248</v>
      </c>
      <c r="R104" s="31">
        <f>SUM($Q$36:Q104)</f>
        <v>-1235.872992940233</v>
      </c>
      <c r="S104" s="83">
        <f>IF($L$2&lt;&gt;1,-(R104-$R$36)/B104*12/$Q$36,0)</f>
        <v>-0.18982977126802536</v>
      </c>
      <c r="T104" s="31">
        <f>SUMPRODUCT($Q$36:Q104,$E$36:E104)/E104-R104</f>
        <v>-277.92981700443966</v>
      </c>
      <c r="U104" s="31">
        <f t="shared" si="20"/>
        <v>483.99064448316039</v>
      </c>
      <c r="V104" s="31">
        <f t="shared" si="21"/>
        <v>1079.3906444831605</v>
      </c>
      <c r="W104" s="80" cm="1">
        <f t="array" ref="W104">IF($L$2&lt;&gt;1,IRR(IF(ROW($Q$36:Q104)=ROW(Q104),Q104+L104-K104,$Q$36:Q104),W103/12)*12,0)</f>
        <v>7.703444262325565E-2</v>
      </c>
      <c r="X104" s="83">
        <f>(1+W104/12)^(B104)-1</f>
        <v>0.54516904801869748</v>
      </c>
    </row>
    <row r="105" spans="2:24" x14ac:dyDescent="0.25">
      <c r="B105" s="33">
        <v>69</v>
      </c>
      <c r="C105" s="81">
        <f t="shared" si="17"/>
        <v>5.75</v>
      </c>
      <c r="D105" s="105">
        <f t="shared" si="18"/>
        <v>3.9789301544717048E-3</v>
      </c>
      <c r="E105" s="106">
        <f t="shared" si="22"/>
        <v>0.7603309916582246</v>
      </c>
      <c r="F105" s="60">
        <f>rate</f>
        <v>3.2737397821989145E-3</v>
      </c>
      <c r="G105" s="31">
        <f>IF(AND(B104&gt;=gracia,12*años+gracia-B104&gt;0,$L$2&lt;&gt;1),PMT(F104,12*años-B104+gracia,-K104),0)</f>
        <v>19.168720484415221</v>
      </c>
      <c r="H105" s="31">
        <f>IF(AND(12*años+gracia-B104&gt;0,$L$2&lt;&gt;1),K104*F105,0)</f>
        <v>11.787720546524287</v>
      </c>
      <c r="I105" s="31">
        <f>IF(AND(12*años+gracia-B104&gt;0,$L$2&lt;&gt;1),G105-H105,0)</f>
        <v>7.3809999378909339</v>
      </c>
      <c r="J105" s="62"/>
      <c r="K105" s="61">
        <f t="shared" si="23"/>
        <v>3593.3085266458861</v>
      </c>
      <c r="L105" s="61">
        <f>L104*(1+$J$17)^(1/12)</f>
        <v>5333.675083447496</v>
      </c>
      <c r="M105" s="31">
        <f t="shared" si="24"/>
        <v>12</v>
      </c>
      <c r="N105" s="31">
        <f t="shared" si="25"/>
        <v>0</v>
      </c>
      <c r="O105" s="31">
        <f t="shared" si="26"/>
        <v>-2.25</v>
      </c>
      <c r="P105" s="62"/>
      <c r="Q105" s="31">
        <f t="shared" si="19"/>
        <v>-9.4187204844152213</v>
      </c>
      <c r="R105" s="31">
        <f>SUM($Q$36:Q105)</f>
        <v>-1245.2917134246482</v>
      </c>
      <c r="S105" s="83">
        <f>IF($L$2&lt;&gt;1,-(R105-$R$36)/B105*12/$Q$36,0)</f>
        <v>-0.18982977126802536</v>
      </c>
      <c r="T105" s="31">
        <f>SUMPRODUCT($Q$36:Q105,$E$36:E105)/E105-R105</f>
        <v>-283.95313265285245</v>
      </c>
      <c r="U105" s="31">
        <f t="shared" si="20"/>
        <v>495.07484337696133</v>
      </c>
      <c r="V105" s="31">
        <f t="shared" si="21"/>
        <v>1090.4748433769614</v>
      </c>
      <c r="W105" s="80" cm="1">
        <f t="array" ref="W105">IF($L$2&lt;&gt;1,IRR(IF(ROW($Q$36:Q105)=ROW(Q105),Q105+L105-K105,$Q$36:Q105),W104/12)*12,0)</f>
        <v>7.7040049227910856E-2</v>
      </c>
      <c r="X105" s="83">
        <f>(1+W105/12)^(B105)-1</f>
        <v>0.555138131626568</v>
      </c>
    </row>
    <row r="106" spans="2:24" x14ac:dyDescent="0.25">
      <c r="B106" s="33">
        <v>70</v>
      </c>
      <c r="C106" s="81">
        <f t="shared" si="17"/>
        <v>5.833333333333333</v>
      </c>
      <c r="D106" s="105">
        <f t="shared" si="18"/>
        <v>3.9789301544717048E-3</v>
      </c>
      <c r="E106" s="106">
        <f t="shared" si="22"/>
        <v>0.75731767751464707</v>
      </c>
      <c r="F106" s="60">
        <f>rate</f>
        <v>3.2737397821989145E-3</v>
      </c>
      <c r="G106" s="31">
        <f>IF(AND(B105&gt;=gracia,12*años+gracia-B105&gt;0,$L$2&lt;&gt;1),PMT(F105,12*años-B105+gracia,-K105),0)</f>
        <v>19.168720484415225</v>
      </c>
      <c r="H106" s="31">
        <f>IF(AND(12*años+gracia-B105&gt;0,$L$2&lt;&gt;1),K105*F106,0)</f>
        <v>11.763557073395205</v>
      </c>
      <c r="I106" s="31">
        <f>IF(AND(12*años+gracia-B105&gt;0,$L$2&lt;&gt;1),G106-H106,0)</f>
        <v>7.4051634110200197</v>
      </c>
      <c r="J106" s="62"/>
      <c r="K106" s="61">
        <f t="shared" si="23"/>
        <v>3585.903363234866</v>
      </c>
      <c r="L106" s="61">
        <f>L105*(1+$J$17)^(1/12)</f>
        <v>5346.829365081092</v>
      </c>
      <c r="M106" s="31">
        <f t="shared" si="24"/>
        <v>12</v>
      </c>
      <c r="N106" s="31">
        <f t="shared" si="25"/>
        <v>0</v>
      </c>
      <c r="O106" s="31">
        <f t="shared" si="26"/>
        <v>-2.25</v>
      </c>
      <c r="P106" s="62"/>
      <c r="Q106" s="31">
        <f t="shared" si="19"/>
        <v>-9.4187204844152248</v>
      </c>
      <c r="R106" s="31">
        <f>SUM($Q$36:Q106)</f>
        <v>-1254.7104339090633</v>
      </c>
      <c r="S106" s="83">
        <f>IF($L$2&lt;&gt;1,-(R106-$R$36)/B106*12/$Q$36,0)</f>
        <v>-0.18982977126802536</v>
      </c>
      <c r="T106" s="31">
        <f>SUMPRODUCT($Q$36:Q106,$E$36:E106)/E106-R106</f>
        <v>-290.03789108448086</v>
      </c>
      <c r="U106" s="31">
        <f t="shared" si="20"/>
        <v>506.21556793716263</v>
      </c>
      <c r="V106" s="31">
        <f t="shared" si="21"/>
        <v>1101.6155679371627</v>
      </c>
      <c r="W106" s="80" cm="1">
        <f t="array" ref="W106">IF($L$2&lt;&gt;1,IRR(IF(ROW($Q$36:Q106)=ROW(Q106),Q106+L106-K106,$Q$36:Q106),W105/12)*12,0)</f>
        <v>7.7035968391839127E-2</v>
      </c>
      <c r="X106" s="83">
        <f>(1+W106/12)^(B106)-1</f>
        <v>0.56508510537076306</v>
      </c>
    </row>
    <row r="107" spans="2:24" x14ac:dyDescent="0.25">
      <c r="B107" s="33">
        <v>71</v>
      </c>
      <c r="C107" s="81">
        <f t="shared" si="17"/>
        <v>5.916666666666667</v>
      </c>
      <c r="D107" s="105">
        <f t="shared" si="18"/>
        <v>3.9789301544717048E-3</v>
      </c>
      <c r="E107" s="106">
        <f t="shared" si="22"/>
        <v>0.75431630562020513</v>
      </c>
      <c r="F107" s="60">
        <f>rate</f>
        <v>3.2737397821989145E-3</v>
      </c>
      <c r="G107" s="31">
        <f>IF(AND(B106&gt;=gracia,12*años+gracia-B106&gt;0,$L$2&lt;&gt;1),PMT(F106,12*años-B106+gracia,-K106),0)</f>
        <v>19.168720484415221</v>
      </c>
      <c r="H107" s="31">
        <f>IF(AND(12*años+gracia-B106&gt;0,$L$2&lt;&gt;1),K106*F107,0)</f>
        <v>11.739314495342866</v>
      </c>
      <c r="I107" s="31">
        <f>IF(AND(12*años+gracia-B106&gt;0,$L$2&lt;&gt;1),G107-H107,0)</f>
        <v>7.4294059890723556</v>
      </c>
      <c r="J107" s="62"/>
      <c r="K107" s="61">
        <f t="shared" si="23"/>
        <v>3578.4739572457938</v>
      </c>
      <c r="L107" s="61">
        <f>L106*(1+$J$17)^(1/12)</f>
        <v>5360.0160887218572</v>
      </c>
      <c r="M107" s="31">
        <f t="shared" si="24"/>
        <v>12</v>
      </c>
      <c r="N107" s="31">
        <f t="shared" si="25"/>
        <v>0</v>
      </c>
      <c r="O107" s="31">
        <f t="shared" si="26"/>
        <v>-2.25</v>
      </c>
      <c r="P107" s="62"/>
      <c r="Q107" s="31">
        <f t="shared" si="19"/>
        <v>-9.4187204844152213</v>
      </c>
      <c r="R107" s="31">
        <f>SUM($Q$36:Q107)</f>
        <v>-1264.1291543934785</v>
      </c>
      <c r="S107" s="83">
        <f>IF($L$2&lt;&gt;1,-(R107-$R$36)/B107*12/$Q$36,0)</f>
        <v>-0.18982977126802536</v>
      </c>
      <c r="T107" s="31">
        <f>SUMPRODUCT($Q$36:Q107,$E$36:E107)/E107-R107</f>
        <v>-296.18433677586722</v>
      </c>
      <c r="U107" s="31">
        <f t="shared" si="20"/>
        <v>517.4129770825848</v>
      </c>
      <c r="V107" s="31">
        <f t="shared" si="21"/>
        <v>1112.8129770825849</v>
      </c>
      <c r="W107" s="80" cm="1">
        <f t="array" ref="W107">IF($L$2&lt;&gt;1,IRR(IF(ROW($Q$36:Q107)=ROW(Q107),Q107+L107-K107,$Q$36:Q107),W106/12)*12,0)</f>
        <v>7.7022815004534451E-2</v>
      </c>
      <c r="X107" s="83">
        <f>(1+W107/12)^(B107)-1</f>
        <v>0.5750106290635193</v>
      </c>
    </row>
    <row r="108" spans="2:24" x14ac:dyDescent="0.25">
      <c r="B108" s="33">
        <v>72</v>
      </c>
      <c r="C108" s="81">
        <f t="shared" si="17"/>
        <v>6</v>
      </c>
      <c r="D108" s="105">
        <f t="shared" si="18"/>
        <v>3.9789301544717048E-3</v>
      </c>
      <c r="E108" s="106">
        <f t="shared" si="22"/>
        <v>0.75132682864584255</v>
      </c>
      <c r="F108" s="60">
        <f>rate</f>
        <v>3.2737397821989145E-3</v>
      </c>
      <c r="G108" s="31">
        <f>IF(AND(B107&gt;=gracia,12*años+gracia-B107&gt;0,$L$2&lt;&gt;1),PMT(F107,12*años-B107+gracia,-K107),0)</f>
        <v>19.168720484415225</v>
      </c>
      <c r="H108" s="31">
        <f>IF(AND(12*años+gracia-B107&gt;0,$L$2&lt;&gt;1),K107*F108,0)</f>
        <v>11.714992553398332</v>
      </c>
      <c r="I108" s="31">
        <f>IF(AND(12*años+gracia-B107&gt;0,$L$2&lt;&gt;1),G108-H108,0)</f>
        <v>7.4537279310168927</v>
      </c>
      <c r="J108" s="62"/>
      <c r="K108" s="61">
        <f t="shared" si="23"/>
        <v>3571.0202293147768</v>
      </c>
      <c r="L108" s="61">
        <f>L107*(1+$J$17)^(1/12)</f>
        <v>5373.2353343805335</v>
      </c>
      <c r="M108" s="31">
        <f t="shared" si="24"/>
        <v>12</v>
      </c>
      <c r="N108" s="31">
        <f t="shared" si="25"/>
        <v>0</v>
      </c>
      <c r="O108" s="31">
        <f t="shared" si="26"/>
        <v>-2.25</v>
      </c>
      <c r="P108" s="62"/>
      <c r="Q108" s="31">
        <f t="shared" si="19"/>
        <v>-9.4187204844152248</v>
      </c>
      <c r="R108" s="31">
        <f>SUM($Q$36:Q108)</f>
        <v>-1273.5478748778937</v>
      </c>
      <c r="S108" s="83">
        <f>IF($L$2&lt;&gt;1,-(R108-$R$36)/B108*12/$Q$36,0)</f>
        <v>-0.18982977126802536</v>
      </c>
      <c r="T108" s="31">
        <f>SUMPRODUCT($Q$36:Q108,$E$36:E108)/E108-R108</f>
        <v>-302.39271517631005</v>
      </c>
      <c r="U108" s="31">
        <f t="shared" si="20"/>
        <v>528.66723018786251</v>
      </c>
      <c r="V108" s="31">
        <f t="shared" si="21"/>
        <v>1124.0672301878626</v>
      </c>
      <c r="W108" s="80" cm="1">
        <f t="array" ref="W108">IF($L$2&lt;&gt;1,IRR(IF(ROW($Q$36:Q108)=ROW(Q108),Q108+L108-K108,$Q$36:Q108),W107/12)*12,0)</f>
        <v>7.7001163703648956E-2</v>
      </c>
      <c r="X108" s="83">
        <f>(1+W108/12)^(B108)-1</f>
        <v>0.58491534860331362</v>
      </c>
    </row>
    <row r="109" spans="2:24" x14ac:dyDescent="0.25">
      <c r="B109" s="33">
        <v>73</v>
      </c>
      <c r="C109" s="81">
        <f t="shared" si="17"/>
        <v>6.083333333333333</v>
      </c>
      <c r="D109" s="105">
        <f t="shared" si="18"/>
        <v>3.9789301544717048E-3</v>
      </c>
      <c r="E109" s="106">
        <f t="shared" si="22"/>
        <v>0.74834919945007583</v>
      </c>
      <c r="F109" s="60">
        <f>rate</f>
        <v>3.2737397821989145E-3</v>
      </c>
      <c r="G109" s="31">
        <f>IF(AND(B108&gt;=gracia,12*años+gracia-B108&gt;0,$L$2&lt;&gt;1),PMT(F108,12*años-B108+gracia,-K108),0)</f>
        <v>19.168720484415225</v>
      </c>
      <c r="H109" s="31">
        <f>IF(AND(12*años+gracia-B108&gt;0,$L$2&lt;&gt;1),K108*F109,0)</f>
        <v>11.690590987744875</v>
      </c>
      <c r="I109" s="31">
        <f>IF(AND(12*años+gracia-B108&gt;0,$L$2&lt;&gt;1),G109-H109,0)</f>
        <v>7.4781294966703502</v>
      </c>
      <c r="J109" s="62"/>
      <c r="K109" s="61">
        <f t="shared" si="23"/>
        <v>3563.5420998181066</v>
      </c>
      <c r="L109" s="61">
        <f>L108*(1+$J$17)^(1/12)</f>
        <v>5386.4871822651903</v>
      </c>
      <c r="M109" s="31">
        <f t="shared" si="24"/>
        <v>12</v>
      </c>
      <c r="N109" s="31">
        <f t="shared" si="25"/>
        <v>0</v>
      </c>
      <c r="O109" s="31">
        <f t="shared" si="26"/>
        <v>-2.25</v>
      </c>
      <c r="P109" s="62"/>
      <c r="Q109" s="31">
        <f t="shared" si="19"/>
        <v>-9.4187204844152248</v>
      </c>
      <c r="R109" s="31">
        <f>SUM($Q$36:Q109)</f>
        <v>-1282.9665953623089</v>
      </c>
      <c r="S109" s="83">
        <f>IF($L$2&lt;&gt;1,-(R109-$R$36)/B109*12/$Q$36,0)</f>
        <v>-0.18982977126802536</v>
      </c>
      <c r="T109" s="31">
        <f>SUMPRODUCT($Q$36:Q109,$E$36:E109)/E109-R109</f>
        <v>-308.66327271173304</v>
      </c>
      <c r="U109" s="31">
        <f t="shared" si="20"/>
        <v>539.97848708477522</v>
      </c>
      <c r="V109" s="31">
        <f t="shared" si="21"/>
        <v>1135.3784870847753</v>
      </c>
      <c r="W109" s="80" cm="1">
        <f t="array" ref="W109">IF($L$2&lt;&gt;1,IRR(IF(ROW($Q$36:Q109)=ROW(Q109),Q109+L109-K109,$Q$36:Q109),W108/12)*12,0)</f>
        <v>7.6971551863098675E-2</v>
      </c>
      <c r="X109" s="83">
        <f>(1+W109/12)^(B109)-1</f>
        <v>0.59479989640236619</v>
      </c>
    </row>
    <row r="110" spans="2:24" x14ac:dyDescent="0.25">
      <c r="B110" s="33">
        <v>74</v>
      </c>
      <c r="C110" s="81">
        <f t="shared" si="17"/>
        <v>6.166666666666667</v>
      </c>
      <c r="D110" s="105">
        <f t="shared" si="18"/>
        <v>3.9789301544717048E-3</v>
      </c>
      <c r="E110" s="106">
        <f t="shared" si="22"/>
        <v>0.74538337107825081</v>
      </c>
      <c r="F110" s="60">
        <f>rate</f>
        <v>3.2737397821989145E-3</v>
      </c>
      <c r="G110" s="31">
        <f>IF(AND(B109&gt;=gracia,12*años+gracia-B109&gt;0,$L$2&lt;&gt;1),PMT(F109,12*años-B109+gracia,-K109),0)</f>
        <v>19.168720484415218</v>
      </c>
      <c r="H110" s="31">
        <f>IF(AND(12*años+gracia-B109&gt;0,$L$2&lt;&gt;1),K109*F110,0)</f>
        <v>11.66610953771519</v>
      </c>
      <c r="I110" s="31">
        <f>IF(AND(12*años+gracia-B109&gt;0,$L$2&lt;&gt;1),G110-H110,0)</f>
        <v>7.5026109467000275</v>
      </c>
      <c r="J110" s="62"/>
      <c r="K110" s="61">
        <f t="shared" si="23"/>
        <v>3556.0394888714068</v>
      </c>
      <c r="L110" s="61">
        <f>L109*(1+$J$17)^(1/12)</f>
        <v>5399.7717127817123</v>
      </c>
      <c r="M110" s="31">
        <f t="shared" si="24"/>
        <v>12</v>
      </c>
      <c r="N110" s="31">
        <f t="shared" si="25"/>
        <v>0</v>
      </c>
      <c r="O110" s="31">
        <f t="shared" si="26"/>
        <v>-2.25</v>
      </c>
      <c r="P110" s="62"/>
      <c r="Q110" s="31">
        <f t="shared" si="19"/>
        <v>-9.4187204844152177</v>
      </c>
      <c r="R110" s="31">
        <f>SUM($Q$36:Q110)</f>
        <v>-1292.3853158467241</v>
      </c>
      <c r="S110" s="83">
        <f>IF($L$2&lt;&gt;1,-(R110-$R$36)/B110*12/$Q$36,0)</f>
        <v>-0.18982977126802536</v>
      </c>
      <c r="T110" s="31">
        <f>SUMPRODUCT($Q$36:Q110,$E$36:E110)/E110-R110</f>
        <v>-314.99625678857069</v>
      </c>
      <c r="U110" s="31">
        <f t="shared" si="20"/>
        <v>551.3469080635814</v>
      </c>
      <c r="V110" s="31">
        <f t="shared" si="21"/>
        <v>1146.7469080635815</v>
      </c>
      <c r="W110" s="80" cm="1">
        <f t="array" ref="W110">IF($L$2&lt;&gt;1,IRR(IF(ROW($Q$36:Q110)=ROW(Q110),Q110+L110-K110,$Q$36:Q110),W109/12)*12,0)</f>
        <v>7.693448232818767E-2</v>
      </c>
      <c r="X110" s="83">
        <f>(1+W110/12)^(B110)-1</f>
        <v>0.60466489179687044</v>
      </c>
    </row>
    <row r="111" spans="2:24" x14ac:dyDescent="0.25">
      <c r="B111" s="33">
        <v>75</v>
      </c>
      <c r="C111" s="81">
        <f t="shared" si="17"/>
        <v>6.25</v>
      </c>
      <c r="D111" s="105">
        <f t="shared" si="18"/>
        <v>3.9789301544717048E-3</v>
      </c>
      <c r="E111" s="106">
        <f t="shared" si="22"/>
        <v>0.74242929676180203</v>
      </c>
      <c r="F111" s="60">
        <f>rate</f>
        <v>3.2737397821989145E-3</v>
      </c>
      <c r="G111" s="31">
        <f>IF(AND(B110&gt;=gracia,12*años+gracia-B110&gt;0,$L$2&lt;&gt;1),PMT(F110,12*años-B110+gracia,-K110),0)</f>
        <v>19.168720484415225</v>
      </c>
      <c r="H111" s="31">
        <f>IF(AND(12*años+gracia-B110&gt;0,$L$2&lt;&gt;1),K110*F111,0)</f>
        <v>11.641547941788618</v>
      </c>
      <c r="I111" s="31">
        <f>IF(AND(12*años+gracia-B110&gt;0,$L$2&lt;&gt;1),G111-H111,0)</f>
        <v>7.527172542626607</v>
      </c>
      <c r="J111" s="62"/>
      <c r="K111" s="61">
        <f t="shared" si="23"/>
        <v>3548.5123163287803</v>
      </c>
      <c r="L111" s="61">
        <f>L110*(1+$J$17)^(1/12)</f>
        <v>5413.0890065342865</v>
      </c>
      <c r="M111" s="31">
        <f t="shared" si="24"/>
        <v>12</v>
      </c>
      <c r="N111" s="31">
        <f t="shared" si="25"/>
        <v>0</v>
      </c>
      <c r="O111" s="31">
        <f t="shared" si="26"/>
        <v>-2.25</v>
      </c>
      <c r="P111" s="62"/>
      <c r="Q111" s="31">
        <f t="shared" si="19"/>
        <v>-9.4187204844152248</v>
      </c>
      <c r="R111" s="31">
        <f>SUM($Q$36:Q111)</f>
        <v>-1301.8040363311393</v>
      </c>
      <c r="S111" s="83">
        <f>IF($L$2&lt;&gt;1,-(R111-$R$36)/B111*12/$Q$36,0)</f>
        <v>-0.18982977126802536</v>
      </c>
      <c r="T111" s="31">
        <f>SUMPRODUCT($Q$36:Q111,$E$36:E111)/E111-R111</f>
        <v>-321.39191579767157</v>
      </c>
      <c r="U111" s="31">
        <f t="shared" si="20"/>
        <v>562.77265387436637</v>
      </c>
      <c r="V111" s="31">
        <f t="shared" si="21"/>
        <v>1158.1726538743665</v>
      </c>
      <c r="W111" s="80" cm="1">
        <f t="array" ref="W111">IF($L$2&lt;&gt;1,IRR(IF(ROW($Q$36:Q111)=ROW(Q111),Q111+L111-K111,$Q$36:Q111),W110/12)*12,0)</f>
        <v>7.6890425922024441E-2</v>
      </c>
      <c r="X111" s="83">
        <f>(1+W111/12)^(B111)-1</f>
        <v>0.61451094144214036</v>
      </c>
    </row>
    <row r="112" spans="2:24" x14ac:dyDescent="0.25">
      <c r="B112" s="33">
        <v>76</v>
      </c>
      <c r="C112" s="81">
        <f t="shared" si="17"/>
        <v>6.333333333333333</v>
      </c>
      <c r="D112" s="105">
        <f t="shared" si="18"/>
        <v>3.9789301544717048E-3</v>
      </c>
      <c r="E112" s="106">
        <f t="shared" si="22"/>
        <v>0.73948692991751552</v>
      </c>
      <c r="F112" s="60">
        <f>rate</f>
        <v>3.2737397821989145E-3</v>
      </c>
      <c r="G112" s="31">
        <f>IF(AND(B111&gt;=gracia,12*años+gracia-B111&gt;0,$L$2&lt;&gt;1),PMT(F111,12*años-B111+gracia,-K111),0)</f>
        <v>19.168720484415221</v>
      </c>
      <c r="H112" s="31">
        <f>IF(AND(12*años+gracia-B111&gt;0,$L$2&lt;&gt;1),K111*F112,0)</f>
        <v>11.616905937588347</v>
      </c>
      <c r="I112" s="31">
        <f>IF(AND(12*años+gracia-B111&gt;0,$L$2&lt;&gt;1),G112-H112,0)</f>
        <v>7.5518145468268738</v>
      </c>
      <c r="J112" s="62"/>
      <c r="K112" s="61">
        <f t="shared" si="23"/>
        <v>3540.9605017819536</v>
      </c>
      <c r="L112" s="61">
        <f>L111*(1+$J$17)^(1/12)</f>
        <v>5426.439144325891</v>
      </c>
      <c r="M112" s="31">
        <f t="shared" si="24"/>
        <v>12</v>
      </c>
      <c r="N112" s="31">
        <f t="shared" si="25"/>
        <v>0</v>
      </c>
      <c r="O112" s="31">
        <f t="shared" si="26"/>
        <v>-2.25</v>
      </c>
      <c r="P112" s="62"/>
      <c r="Q112" s="31">
        <f t="shared" si="19"/>
        <v>-9.4187204844152213</v>
      </c>
      <c r="R112" s="31">
        <f>SUM($Q$36:Q112)</f>
        <v>-1311.2227568155545</v>
      </c>
      <c r="S112" s="83">
        <f>IF($L$2&lt;&gt;1,-(R112-$R$36)/B112*12/$Q$36,0)</f>
        <v>-0.18982977126802536</v>
      </c>
      <c r="T112" s="31">
        <f>SUMPRODUCT($Q$36:Q112,$E$36:E112)/E112-R112</f>
        <v>-327.85049911821352</v>
      </c>
      <c r="U112" s="31">
        <f t="shared" si="20"/>
        <v>574.25588572838296</v>
      </c>
      <c r="V112" s="31">
        <f t="shared" si="21"/>
        <v>1169.6558857283831</v>
      </c>
      <c r="W112" s="80" cm="1">
        <f t="array" ref="W112">IF($L$2&lt;&gt;1,IRR(IF(ROW($Q$36:Q112)=ROW(Q112),Q112+L112-K112,$Q$36:Q112),W111/12)*12,0)</f>
        <v>7.6839823744722757E-2</v>
      </c>
      <c r="X112" s="83">
        <f>(1+W112/12)^(B112)-1</f>
        <v>0.62433863969205672</v>
      </c>
    </row>
    <row r="113" spans="2:24" x14ac:dyDescent="0.25">
      <c r="B113" s="33">
        <v>77</v>
      </c>
      <c r="C113" s="81">
        <f t="shared" si="17"/>
        <v>6.416666666666667</v>
      </c>
      <c r="D113" s="105">
        <f t="shared" si="18"/>
        <v>3.9789301544717048E-3</v>
      </c>
      <c r="E113" s="106">
        <f t="shared" si="22"/>
        <v>0.736556224146794</v>
      </c>
      <c r="F113" s="60">
        <f>rate</f>
        <v>3.2737397821989145E-3</v>
      </c>
      <c r="G113" s="31">
        <f>IF(AND(B112&gt;=gracia,12*años+gracia-B112&gt;0,$L$2&lt;&gt;1),PMT(F112,12*años-B112+gracia,-K112),0)</f>
        <v>19.168720484415225</v>
      </c>
      <c r="H113" s="31">
        <f>IF(AND(12*años+gracia-B112&gt;0,$L$2&lt;&gt;1),K112*F113,0)</f>
        <v>11.592183261878612</v>
      </c>
      <c r="I113" s="31">
        <f>IF(AND(12*años+gracia-B112&gt;0,$L$2&lt;&gt;1),G113-H113,0)</f>
        <v>7.5765372225366132</v>
      </c>
      <c r="J113" s="62"/>
      <c r="K113" s="61">
        <f t="shared" si="23"/>
        <v>3533.3839645594171</v>
      </c>
      <c r="L113" s="61">
        <f>L112*(1+$J$17)^(1/12)</f>
        <v>5439.822207158787</v>
      </c>
      <c r="M113" s="31">
        <f t="shared" si="24"/>
        <v>12</v>
      </c>
      <c r="N113" s="31">
        <f t="shared" si="25"/>
        <v>0</v>
      </c>
      <c r="O113" s="31">
        <f t="shared" si="26"/>
        <v>-2.25</v>
      </c>
      <c r="P113" s="62"/>
      <c r="Q113" s="31">
        <f t="shared" si="19"/>
        <v>-9.4187204844152248</v>
      </c>
      <c r="R113" s="31">
        <f>SUM($Q$36:Q113)</f>
        <v>-1320.6414772999697</v>
      </c>
      <c r="S113" s="83">
        <f>IF($L$2&lt;&gt;1,-(R113-$R$36)/B113*12/$Q$36,0)</f>
        <v>-0.18982977126802536</v>
      </c>
      <c r="T113" s="31">
        <f>SUMPRODUCT($Q$36:Q113,$E$36:E113)/E113-R113</f>
        <v>-334.37225712163649</v>
      </c>
      <c r="U113" s="31">
        <f t="shared" si="20"/>
        <v>585.79676529940025</v>
      </c>
      <c r="V113" s="31">
        <f t="shared" si="21"/>
        <v>1181.1967652994003</v>
      </c>
      <c r="W113" s="80" cm="1">
        <f t="array" ref="W113">IF($L$2&lt;&gt;1,IRR(IF(ROW($Q$36:Q113)=ROW(Q113),Q113+L113-K113,$Q$36:Q113),W112/12)*12,0)</f>
        <v>7.6783089284848671E-2</v>
      </c>
      <c r="X113" s="83">
        <f>(1+W113/12)^(B113)-1</f>
        <v>0.63414856896493887</v>
      </c>
    </row>
    <row r="114" spans="2:24" x14ac:dyDescent="0.25">
      <c r="B114" s="33">
        <v>78</v>
      </c>
      <c r="C114" s="81">
        <f t="shared" si="17"/>
        <v>6.5</v>
      </c>
      <c r="D114" s="105">
        <f t="shared" si="18"/>
        <v>3.9789301544717048E-3</v>
      </c>
      <c r="E114" s="106">
        <f t="shared" si="22"/>
        <v>0.73363713323492541</v>
      </c>
      <c r="F114" s="60">
        <f>rate</f>
        <v>3.2737397821989145E-3</v>
      </c>
      <c r="G114" s="31">
        <f>IF(AND(B113&gt;=gracia,12*años+gracia-B113&gt;0,$L$2&lt;&gt;1),PMT(F113,12*años-B113+gracia,-K113),0)</f>
        <v>19.168720484415225</v>
      </c>
      <c r="H114" s="31">
        <f>IF(AND(12*años+gracia-B113&gt;0,$L$2&lt;&gt;1),K113*F114,0)</f>
        <v>11.567379650561882</v>
      </c>
      <c r="I114" s="31">
        <f>IF(AND(12*años+gracia-B113&gt;0,$L$2&lt;&gt;1),G114-H114,0)</f>
        <v>7.6013408338533424</v>
      </c>
      <c r="J114" s="62"/>
      <c r="K114" s="61">
        <f t="shared" si="23"/>
        <v>3525.7826237255636</v>
      </c>
      <c r="L114" s="61">
        <f>L113*(1+$J$17)^(1/12)</f>
        <v>5453.2382762350089</v>
      </c>
      <c r="M114" s="31">
        <f t="shared" si="24"/>
        <v>12</v>
      </c>
      <c r="N114" s="31">
        <f t="shared" si="25"/>
        <v>0</v>
      </c>
      <c r="O114" s="31">
        <f t="shared" si="26"/>
        <v>-2.25</v>
      </c>
      <c r="P114" s="62"/>
      <c r="Q114" s="31">
        <f t="shared" si="19"/>
        <v>-9.4187204844152248</v>
      </c>
      <c r="R114" s="31">
        <f>SUM($Q$36:Q114)</f>
        <v>-1330.0601977843849</v>
      </c>
      <c r="S114" s="83">
        <f>IF($L$2&lt;&gt;1,-(R114-$R$36)/B114*12/$Q$36,0)</f>
        <v>-0.18982977126802536</v>
      </c>
      <c r="T114" s="31">
        <f>SUMPRODUCT($Q$36:Q114,$E$36:E114)/E114-R114</f>
        <v>-340.95744117559161</v>
      </c>
      <c r="U114" s="31">
        <f t="shared" si="20"/>
        <v>597.39545472506052</v>
      </c>
      <c r="V114" s="31">
        <f t="shared" si="21"/>
        <v>1192.7954547250606</v>
      </c>
      <c r="W114" s="80" cm="1">
        <f t="array" ref="W114">IF($L$2&lt;&gt;1,IRR(IF(ROW($Q$36:Q114)=ROW(Q114),Q114+L114-K114,$Q$36:Q114),W113/12)*12,0)</f>
        <v>7.6720610360310637E-2</v>
      </c>
      <c r="X114" s="83">
        <f>(1+W114/12)^(B114)-1</f>
        <v>0.64394130009537331</v>
      </c>
    </row>
    <row r="115" spans="2:24" x14ac:dyDescent="0.25">
      <c r="B115" s="33">
        <v>79</v>
      </c>
      <c r="C115" s="81">
        <f t="shared" si="17"/>
        <v>6.583333333333333</v>
      </c>
      <c r="D115" s="105">
        <f t="shared" si="18"/>
        <v>3.9789301544717048E-3</v>
      </c>
      <c r="E115" s="106">
        <f t="shared" si="22"/>
        <v>0.73072961115035384</v>
      </c>
      <c r="F115" s="60">
        <f>rate</f>
        <v>3.2737397821989145E-3</v>
      </c>
      <c r="G115" s="31">
        <f>IF(AND(B114&gt;=gracia,12*años+gracia-B114&gt;0,$L$2&lt;&gt;1),PMT(F114,12*años-B114+gracia,-K114),0)</f>
        <v>19.168720484415225</v>
      </c>
      <c r="H115" s="31">
        <f>IF(AND(12*años+gracia-B114&gt;0,$L$2&lt;&gt;1),K114*F115,0)</f>
        <v>11.542494838676044</v>
      </c>
      <c r="I115" s="31">
        <f>IF(AND(12*años+gracia-B114&gt;0,$L$2&lt;&gt;1),G115-H115,0)</f>
        <v>7.626225645739181</v>
      </c>
      <c r="J115" s="62"/>
      <c r="K115" s="61">
        <f t="shared" si="23"/>
        <v>3518.1563980798242</v>
      </c>
      <c r="L115" s="61">
        <f>L114*(1+$J$17)^(1/12)</f>
        <v>5466.6874329568564</v>
      </c>
      <c r="M115" s="31">
        <f t="shared" si="24"/>
        <v>12</v>
      </c>
      <c r="N115" s="31">
        <f t="shared" si="25"/>
        <v>0</v>
      </c>
      <c r="O115" s="31">
        <f t="shared" si="26"/>
        <v>-2.25</v>
      </c>
      <c r="P115" s="62"/>
      <c r="Q115" s="31">
        <f t="shared" si="19"/>
        <v>-9.4187204844152248</v>
      </c>
      <c r="R115" s="31">
        <f>SUM($Q$36:Q115)</f>
        <v>-1339.4789182688</v>
      </c>
      <c r="S115" s="83">
        <f>IF($L$2&lt;&gt;1,-(R115-$R$36)/B115*12/$Q$36,0)</f>
        <v>-0.18982977126802536</v>
      </c>
      <c r="T115" s="31">
        <f>SUMPRODUCT($Q$36:Q115,$E$36:E115)/E115-R115</f>
        <v>-347.60630364790359</v>
      </c>
      <c r="U115" s="31">
        <f t="shared" si="20"/>
        <v>609.05211660823261</v>
      </c>
      <c r="V115" s="31">
        <f t="shared" si="21"/>
        <v>1204.4521166082327</v>
      </c>
      <c r="W115" s="80" cm="1">
        <f t="array" ref="W115">IF($L$2&lt;&gt;1,IRR(IF(ROW($Q$36:Q115)=ROW(Q115),Q115+L115-K115,$Q$36:Q115),W114/12)*12,0)</f>
        <v>7.6652750904274924E-2</v>
      </c>
      <c r="X115" s="83">
        <f>(1+W115/12)^(B115)-1</f>
        <v>0.65371739267315387</v>
      </c>
    </row>
    <row r="116" spans="2:24" x14ac:dyDescent="0.25">
      <c r="B116" s="33">
        <v>80</v>
      </c>
      <c r="C116" s="81">
        <f t="shared" si="17"/>
        <v>6.666666666666667</v>
      </c>
      <c r="D116" s="105">
        <f t="shared" si="18"/>
        <v>3.9789301544717048E-3</v>
      </c>
      <c r="E116" s="106">
        <f t="shared" si="22"/>
        <v>0.72783361204395414</v>
      </c>
      <c r="F116" s="60">
        <f>rate</f>
        <v>3.2737397821989145E-3</v>
      </c>
      <c r="G116" s="31">
        <f>IF(AND(B115&gt;=gracia,12*años+gracia-B115&gt;0,$L$2&lt;&gt;1),PMT(F115,12*años-B115+gracia,-K115),0)</f>
        <v>19.168720484415225</v>
      </c>
      <c r="H116" s="31">
        <f>IF(AND(12*años+gracia-B115&gt;0,$L$2&lt;&gt;1),K115*F116,0)</f>
        <v>11.517528560391561</v>
      </c>
      <c r="I116" s="31">
        <f>IF(AND(12*años+gracia-B115&gt;0,$L$2&lt;&gt;1),G116-H116,0)</f>
        <v>7.6511919240236637</v>
      </c>
      <c r="J116" s="62"/>
      <c r="K116" s="61">
        <f t="shared" si="23"/>
        <v>3510.5052061558004</v>
      </c>
      <c r="L116" s="61">
        <f>L115*(1+$J$17)^(1/12)</f>
        <v>5480.1697589273899</v>
      </c>
      <c r="M116" s="31">
        <f t="shared" si="24"/>
        <v>12</v>
      </c>
      <c r="N116" s="31">
        <f t="shared" si="25"/>
        <v>0</v>
      </c>
      <c r="O116" s="31">
        <f t="shared" si="26"/>
        <v>-2.25</v>
      </c>
      <c r="P116" s="62"/>
      <c r="Q116" s="31">
        <f t="shared" si="19"/>
        <v>-9.4187204844152248</v>
      </c>
      <c r="R116" s="31">
        <f>SUM($Q$36:Q116)</f>
        <v>-1348.8976387532152</v>
      </c>
      <c r="S116" s="83">
        <f>IF($L$2&lt;&gt;1,-(R116-$R$36)/B116*12/$Q$36,0)</f>
        <v>-0.18982977126802536</v>
      </c>
      <c r="T116" s="31">
        <f>SUMPRODUCT($Q$36:Q116,$E$36:E116)/E116-R116</f>
        <v>-354.31909791055159</v>
      </c>
      <c r="U116" s="31">
        <f t="shared" si="20"/>
        <v>620.76691401837434</v>
      </c>
      <c r="V116" s="31">
        <f t="shared" si="21"/>
        <v>1216.1669140183744</v>
      </c>
      <c r="W116" s="80" cm="1">
        <f t="array" ref="W116">IF($L$2&lt;&gt;1,IRR(IF(ROW($Q$36:Q116)=ROW(Q116),Q116+L116-K116,$Q$36:Q116),W115/12)*12,0)</f>
        <v>7.6579852610081822E-2</v>
      </c>
      <c r="X116" s="83">
        <f>(1+W116/12)^(B116)-1</f>
        <v>0.66347739536999351</v>
      </c>
    </row>
    <row r="117" spans="2:24" x14ac:dyDescent="0.25">
      <c r="B117" s="33">
        <v>81</v>
      </c>
      <c r="C117" s="81">
        <f t="shared" si="17"/>
        <v>6.75</v>
      </c>
      <c r="D117" s="105">
        <f t="shared" si="18"/>
        <v>3.9789301544717048E-3</v>
      </c>
      <c r="E117" s="106">
        <f t="shared" si="22"/>
        <v>0.72494909024830834</v>
      </c>
      <c r="F117" s="60">
        <f>rate</f>
        <v>3.2737397821989145E-3</v>
      </c>
      <c r="G117" s="31">
        <f>IF(AND(B116&gt;=gracia,12*años+gracia-B116&gt;0,$L$2&lt;&gt;1),PMT(F116,12*años-B116+gracia,-K116),0)</f>
        <v>19.168720484415225</v>
      </c>
      <c r="H117" s="31">
        <f>IF(AND(12*años+gracia-B116&gt;0,$L$2&lt;&gt;1),K116*F117,0)</f>
        <v>11.492480549008645</v>
      </c>
      <c r="I117" s="31">
        <f>IF(AND(12*años+gracia-B116&gt;0,$L$2&lt;&gt;1),G117-H117,0)</f>
        <v>7.6762399354065796</v>
      </c>
      <c r="J117" s="62"/>
      <c r="K117" s="61">
        <f t="shared" si="23"/>
        <v>3502.8289662203938</v>
      </c>
      <c r="L117" s="61">
        <f>L116*(1+$J$17)^(1/12)</f>
        <v>5493.685335950925</v>
      </c>
      <c r="M117" s="31">
        <f t="shared" si="24"/>
        <v>12</v>
      </c>
      <c r="N117" s="31">
        <f t="shared" si="25"/>
        <v>0</v>
      </c>
      <c r="O117" s="31">
        <f t="shared" si="26"/>
        <v>-2.25</v>
      </c>
      <c r="P117" s="62"/>
      <c r="Q117" s="31">
        <f t="shared" si="19"/>
        <v>-9.4187204844152248</v>
      </c>
      <c r="R117" s="31">
        <f>SUM($Q$36:Q117)</f>
        <v>-1358.3163592376304</v>
      </c>
      <c r="S117" s="83">
        <f>IF($L$2&lt;&gt;1,-(R117-$R$36)/B117*12/$Q$36,0)</f>
        <v>-0.18982977126802536</v>
      </c>
      <c r="T117" s="31">
        <f>SUMPRODUCT($Q$36:Q117,$E$36:E117)/E117-R117</f>
        <v>-361.09607834366398</v>
      </c>
      <c r="U117" s="31">
        <f t="shared" si="20"/>
        <v>632.54001049290036</v>
      </c>
      <c r="V117" s="31">
        <f t="shared" si="21"/>
        <v>1227.9400104929005</v>
      </c>
      <c r="W117" s="80" cm="1">
        <f t="array" ref="W117">IF($L$2&lt;&gt;1,IRR(IF(ROW($Q$36:Q117)=ROW(Q117),Q117+L117-K117,$Q$36:Q117),W116/12)*12,0)</f>
        <v>7.6502236447645977E-2</v>
      </c>
      <c r="X117" s="83">
        <f>(1+W117/12)^(B117)-1</f>
        <v>0.67322184625403203</v>
      </c>
    </row>
    <row r="118" spans="2:24" x14ac:dyDescent="0.25">
      <c r="B118" s="33">
        <v>82</v>
      </c>
      <c r="C118" s="81">
        <f t="shared" si="17"/>
        <v>6.833333333333333</v>
      </c>
      <c r="D118" s="105">
        <f t="shared" si="18"/>
        <v>3.9789301544717048E-3</v>
      </c>
      <c r="E118" s="106">
        <f t="shared" si="22"/>
        <v>0.72207600027698593</v>
      </c>
      <c r="F118" s="60">
        <f>rate</f>
        <v>3.2737397821989145E-3</v>
      </c>
      <c r="G118" s="31">
        <f>IF(AND(B117&gt;=gracia,12*años+gracia-B117&gt;0,$L$2&lt;&gt;1),PMT(F117,12*años-B117+gracia,-K117),0)</f>
        <v>19.168720484415221</v>
      </c>
      <c r="H118" s="31">
        <f>IF(AND(12*años+gracia-B117&gt;0,$L$2&lt;&gt;1),K117*F118,0)</f>
        <v>11.467350536954401</v>
      </c>
      <c r="I118" s="31">
        <f>IF(AND(12*años+gracia-B117&gt;0,$L$2&lt;&gt;1),G118-H118,0)</f>
        <v>7.7013699474608206</v>
      </c>
      <c r="J118" s="62"/>
      <c r="K118" s="61">
        <f t="shared" si="23"/>
        <v>3495.1275962729328</v>
      </c>
      <c r="L118" s="61">
        <f>L117*(1+$J$17)^(1/12)</f>
        <v>5507.2342460335285</v>
      </c>
      <c r="M118" s="31">
        <f t="shared" si="24"/>
        <v>12</v>
      </c>
      <c r="N118" s="31">
        <f t="shared" si="25"/>
        <v>0</v>
      </c>
      <c r="O118" s="31">
        <f t="shared" si="26"/>
        <v>-2.25</v>
      </c>
      <c r="P118" s="62"/>
      <c r="Q118" s="31">
        <f t="shared" si="19"/>
        <v>-9.4187204844152213</v>
      </c>
      <c r="R118" s="31">
        <f>SUM($Q$36:Q118)</f>
        <v>-1367.7350797220456</v>
      </c>
      <c r="S118" s="83">
        <f>IF($L$2&lt;&gt;1,-(R118-$R$36)/B118*12/$Q$36,0)</f>
        <v>-0.18982977126802536</v>
      </c>
      <c r="T118" s="31">
        <f>SUMPRODUCT($Q$36:Q118,$E$36:E118)/E118-R118</f>
        <v>-367.93750033952961</v>
      </c>
      <c r="U118" s="31">
        <f t="shared" si="20"/>
        <v>644.37157003855009</v>
      </c>
      <c r="V118" s="31">
        <f t="shared" si="21"/>
        <v>1239.7715700385502</v>
      </c>
      <c r="W118" s="80" cm="1">
        <f t="array" ref="W118">IF($L$2&lt;&gt;1,IRR(IF(ROW($Q$36:Q118)=ROW(Q118),Q118+L118-K118,$Q$36:Q118),W117/12)*12,0)</f>
        <v>7.6420204062729091E-2</v>
      </c>
      <c r="X118" s="83">
        <f>(1+W118/12)^(B118)-1</f>
        <v>0.6829512730934888</v>
      </c>
    </row>
    <row r="119" spans="2:24" x14ac:dyDescent="0.25">
      <c r="B119" s="33">
        <v>83</v>
      </c>
      <c r="C119" s="81">
        <f t="shared" si="17"/>
        <v>6.916666666666667</v>
      </c>
      <c r="D119" s="105">
        <f t="shared" si="18"/>
        <v>3.9789301544717048E-3</v>
      </c>
      <c r="E119" s="106">
        <f t="shared" si="22"/>
        <v>0.71921429682382643</v>
      </c>
      <c r="F119" s="60">
        <f>rate</f>
        <v>3.2737397821989145E-3</v>
      </c>
      <c r="G119" s="31">
        <f>IF(AND(B118&gt;=gracia,12*años+gracia-B118&gt;0,$L$2&lt;&gt;1),PMT(F118,12*años-B118+gracia,-K118),0)</f>
        <v>19.168720484415225</v>
      </c>
      <c r="H119" s="31">
        <f>IF(AND(12*años+gracia-B118&gt;0,$L$2&lt;&gt;1),K118*F119,0)</f>
        <v>11.442138255779966</v>
      </c>
      <c r="I119" s="31">
        <f>IF(AND(12*años+gracia-B118&gt;0,$L$2&lt;&gt;1),G119-H119,0)</f>
        <v>7.7265822286352588</v>
      </c>
      <c r="J119" s="62"/>
      <c r="K119" s="61">
        <f t="shared" si="23"/>
        <v>3487.4010140442974</v>
      </c>
      <c r="L119" s="61">
        <f>L118*(1+$J$17)^(1/12)</f>
        <v>5520.8165713835169</v>
      </c>
      <c r="M119" s="31">
        <f t="shared" si="24"/>
        <v>12</v>
      </c>
      <c r="N119" s="31">
        <f t="shared" si="25"/>
        <v>0</v>
      </c>
      <c r="O119" s="31">
        <f t="shared" si="26"/>
        <v>-2.25</v>
      </c>
      <c r="P119" s="62"/>
      <c r="Q119" s="31">
        <f t="shared" si="19"/>
        <v>-9.4187204844152248</v>
      </c>
      <c r="R119" s="31">
        <f>SUM($Q$36:Q119)</f>
        <v>-1377.1538002064608</v>
      </c>
      <c r="S119" s="83">
        <f>IF($L$2&lt;&gt;1,-(R119-$R$36)/B119*12/$Q$36,0)</f>
        <v>-0.18982977126802536</v>
      </c>
      <c r="T119" s="31">
        <f>SUMPRODUCT($Q$36:Q119,$E$36:E119)/E119-R119</f>
        <v>-374.84362030662646</v>
      </c>
      <c r="U119" s="31">
        <f t="shared" si="20"/>
        <v>656.26175713275916</v>
      </c>
      <c r="V119" s="31">
        <f t="shared" si="21"/>
        <v>1251.6617571327592</v>
      </c>
      <c r="W119" s="80" cm="1">
        <f t="array" ref="W119">IF($L$2&lt;&gt;1,IRR(IF(ROW($Q$36:Q119)=ROW(Q119),Q119+L119-K119,$Q$36:Q119),W118/12)*12,0)</f>
        <v>7.6334039069210213E-2</v>
      </c>
      <c r="X119" s="83">
        <f>(1+W119/12)^(B119)-1</f>
        <v>0.69266619364902438</v>
      </c>
    </row>
    <row r="120" spans="2:24" x14ac:dyDescent="0.25">
      <c r="B120" s="33">
        <v>84</v>
      </c>
      <c r="C120" s="81">
        <f t="shared" si="17"/>
        <v>7</v>
      </c>
      <c r="D120" s="105">
        <f t="shared" si="18"/>
        <v>3.9789301544717048E-3</v>
      </c>
      <c r="E120" s="106">
        <f t="shared" si="22"/>
        <v>0.71636393476222504</v>
      </c>
      <c r="F120" s="60">
        <f>rate</f>
        <v>3.2737397821989145E-3</v>
      </c>
      <c r="G120" s="31">
        <f>IF(AND(B119&gt;=gracia,12*años+gracia-B119&gt;0,$L$2&lt;&gt;1),PMT(F119,12*años-B119+gracia,-K119),0)</f>
        <v>19.168720484415225</v>
      </c>
      <c r="H120" s="31">
        <f>IF(AND(12*años+gracia-B119&gt;0,$L$2&lt;&gt;1),K119*F120,0)</f>
        <v>11.416843436157652</v>
      </c>
      <c r="I120" s="31">
        <f>IF(AND(12*años+gracia-B119&gt;0,$L$2&lt;&gt;1),G120-H120,0)</f>
        <v>7.7518770482575725</v>
      </c>
      <c r="J120" s="62"/>
      <c r="K120" s="61">
        <f t="shared" si="23"/>
        <v>3479.6491369960399</v>
      </c>
      <c r="L120" s="61">
        <f>L119*(1+$J$17)^(1/12)</f>
        <v>5534.4323944119533</v>
      </c>
      <c r="M120" s="31">
        <f t="shared" si="24"/>
        <v>12</v>
      </c>
      <c r="N120" s="31">
        <f t="shared" si="25"/>
        <v>0</v>
      </c>
      <c r="O120" s="31">
        <f t="shared" si="26"/>
        <v>-2.25</v>
      </c>
      <c r="P120" s="62"/>
      <c r="Q120" s="31">
        <f t="shared" si="19"/>
        <v>-9.4187204844152248</v>
      </c>
      <c r="R120" s="31">
        <f>SUM($Q$36:Q120)</f>
        <v>-1386.572520690876</v>
      </c>
      <c r="S120" s="83">
        <f>IF($L$2&lt;&gt;1,-(R120-$R$36)/B120*12/$Q$36,0)</f>
        <v>-0.18982977126802536</v>
      </c>
      <c r="T120" s="31">
        <f>SUMPRODUCT($Q$36:Q120,$E$36:E120)/E120-R120</f>
        <v>-381.81469567366253</v>
      </c>
      <c r="U120" s="31">
        <f t="shared" si="20"/>
        <v>668.21073672503735</v>
      </c>
      <c r="V120" s="31">
        <f t="shared" si="21"/>
        <v>1263.6107367250374</v>
      </c>
      <c r="W120" s="80" cm="1">
        <f t="array" ref="W120">IF($L$2&lt;&gt;1,IRR(IF(ROW($Q$36:Q120)=ROW(Q120),Q120+L120-K120,$Q$36:Q120),W119/12)*12,0)</f>
        <v>7.6244008243612882E-2</v>
      </c>
      <c r="X120" s="83">
        <f>(1+W120/12)^(B120)-1</f>
        <v>0.70236711595606982</v>
      </c>
    </row>
    <row r="121" spans="2:24" x14ac:dyDescent="0.25">
      <c r="B121" s="33">
        <v>85</v>
      </c>
      <c r="C121" s="81">
        <f t="shared" si="17"/>
        <v>7.083333333333333</v>
      </c>
      <c r="D121" s="105">
        <f t="shared" si="18"/>
        <v>3.9789301544717048E-3</v>
      </c>
      <c r="E121" s="106">
        <f t="shared" si="22"/>
        <v>0.71352486914442081</v>
      </c>
      <c r="F121" s="60">
        <f>rate</f>
        <v>3.2737397821989145E-3</v>
      </c>
      <c r="G121" s="31">
        <f>IF(AND(B120&gt;=gracia,12*años+gracia-B120&gt;0,$L$2&lt;&gt;1),PMT(F120,12*años-B120+gracia,-K120),0)</f>
        <v>19.168720484415221</v>
      </c>
      <c r="H121" s="31">
        <f>IF(AND(12*años+gracia-B120&gt;0,$L$2&lt;&gt;1),K120*F121,0)</f>
        <v>11.391465807878056</v>
      </c>
      <c r="I121" s="31">
        <f>IF(AND(12*años+gracia-B120&gt;0,$L$2&lt;&gt;1),G121-H121,0)</f>
        <v>7.7772546765371651</v>
      </c>
      <c r="J121" s="62"/>
      <c r="K121" s="61">
        <f t="shared" si="23"/>
        <v>3471.8718823195027</v>
      </c>
      <c r="L121" s="61">
        <f>L120*(1+$J$17)^(1/12)</f>
        <v>5548.0817977331499</v>
      </c>
      <c r="M121" s="31">
        <f t="shared" si="24"/>
        <v>12</v>
      </c>
      <c r="N121" s="31">
        <f t="shared" si="25"/>
        <v>0</v>
      </c>
      <c r="O121" s="31">
        <f t="shared" si="26"/>
        <v>-2.25</v>
      </c>
      <c r="P121" s="62"/>
      <c r="Q121" s="31">
        <f t="shared" si="19"/>
        <v>-9.4187204844152213</v>
      </c>
      <c r="R121" s="31">
        <f>SUM($Q$36:Q121)</f>
        <v>-1395.9912411752912</v>
      </c>
      <c r="S121" s="83">
        <f>IF($L$2&lt;&gt;1,-(R121-$R$36)/B121*12/$Q$36,0)</f>
        <v>-0.18982977126802536</v>
      </c>
      <c r="T121" s="31">
        <f>SUMPRODUCT($Q$36:Q121,$E$36:E121)/E121-R121</f>
        <v>-388.85098489363804</v>
      </c>
      <c r="U121" s="31">
        <f t="shared" si="20"/>
        <v>680.21867423835647</v>
      </c>
      <c r="V121" s="31">
        <f t="shared" si="21"/>
        <v>1275.6186742383566</v>
      </c>
      <c r="W121" s="80" cm="1">
        <f t="array" ref="W121">IF($L$2&lt;&gt;1,IRR(IF(ROW($Q$36:Q121)=ROW(Q121),Q121+L121-K121,$Q$36:Q121),W120/12)*12,0)</f>
        <v>7.615036263018915E-2</v>
      </c>
      <c r="X121" s="83">
        <f>(1+W121/12)^(B121)-1</f>
        <v>0.71205453859724277</v>
      </c>
    </row>
    <row r="122" spans="2:24" x14ac:dyDescent="0.25">
      <c r="B122" s="33">
        <v>86</v>
      </c>
      <c r="C122" s="81">
        <f t="shared" si="17"/>
        <v>7.166666666666667</v>
      </c>
      <c r="D122" s="105">
        <f t="shared" si="18"/>
        <v>3.9789301544717048E-3</v>
      </c>
      <c r="E122" s="106">
        <f t="shared" si="22"/>
        <v>0.71069705520078819</v>
      </c>
      <c r="F122" s="60">
        <f>rate</f>
        <v>3.2737397821989145E-3</v>
      </c>
      <c r="G122" s="31">
        <f>IF(AND(B121&gt;=gracia,12*años+gracia-B121&gt;0,$L$2&lt;&gt;1),PMT(F121,12*años-B121+gracia,-K121),0)</f>
        <v>19.168720484415218</v>
      </c>
      <c r="H122" s="31">
        <f>IF(AND(12*años+gracia-B121&gt;0,$L$2&lt;&gt;1),K121*F122,0)</f>
        <v>11.366005099847184</v>
      </c>
      <c r="I122" s="31">
        <f>IF(AND(12*años+gracia-B121&gt;0,$L$2&lt;&gt;1),G122-H122,0)</f>
        <v>7.8027153845680335</v>
      </c>
      <c r="J122" s="62"/>
      <c r="K122" s="61">
        <f t="shared" si="23"/>
        <v>3464.0691669349349</v>
      </c>
      <c r="L122" s="61">
        <f>L121*(1+$J$17)^(1/12)</f>
        <v>5561.7648641651676</v>
      </c>
      <c r="M122" s="31">
        <f t="shared" si="24"/>
        <v>12</v>
      </c>
      <c r="N122" s="31">
        <f t="shared" si="25"/>
        <v>0</v>
      </c>
      <c r="O122" s="31">
        <f t="shared" si="26"/>
        <v>-2.25</v>
      </c>
      <c r="P122" s="62"/>
      <c r="Q122" s="31">
        <f t="shared" si="19"/>
        <v>-9.4187204844152177</v>
      </c>
      <c r="R122" s="31">
        <f>SUM($Q$36:Q122)</f>
        <v>-1405.4099616597064</v>
      </c>
      <c r="S122" s="83">
        <f>IF($L$2&lt;&gt;1,-(R122-$R$36)/B122*12/$Q$36,0)</f>
        <v>-0.18982977126802536</v>
      </c>
      <c r="T122" s="31">
        <f>SUMPRODUCT($Q$36:Q122,$E$36:E122)/E122-R122</f>
        <v>-395.952747447918</v>
      </c>
      <c r="U122" s="31">
        <f t="shared" si="20"/>
        <v>692.28573557052641</v>
      </c>
      <c r="V122" s="31">
        <f t="shared" si="21"/>
        <v>1287.6857355705265</v>
      </c>
      <c r="W122" s="80" cm="1">
        <f t="array" ref="W122">IF($L$2&lt;&gt;1,IRR(IF(ROW($Q$36:Q122)=ROW(Q122),Q122+L122-K122,$Q$36:Q122),W121/12)*12,0)</f>
        <v>7.6053338564082473E-2</v>
      </c>
      <c r="X122" s="83">
        <f>(1+W122/12)^(B122)-1</f>
        <v>0.72172895096498957</v>
      </c>
    </row>
    <row r="123" spans="2:24" x14ac:dyDescent="0.25">
      <c r="B123" s="33">
        <v>87</v>
      </c>
      <c r="C123" s="81">
        <f t="shared" si="17"/>
        <v>7.25</v>
      </c>
      <c r="D123" s="105">
        <f t="shared" si="18"/>
        <v>3.9789301544717048E-3</v>
      </c>
      <c r="E123" s="106">
        <f t="shared" si="22"/>
        <v>0.70788044833913066</v>
      </c>
      <c r="F123" s="60">
        <f>rate</f>
        <v>3.2737397821989145E-3</v>
      </c>
      <c r="G123" s="31">
        <f>IF(AND(B122&gt;=gracia,12*años+gracia-B122&gt;0,$L$2&lt;&gt;1),PMT(F122,12*años-B122+gracia,-K122),0)</f>
        <v>19.168720484415225</v>
      </c>
      <c r="H123" s="31">
        <f>IF(AND(12*años+gracia-B122&gt;0,$L$2&lt;&gt;1),K122*F123,0)</f>
        <v>11.340461040083548</v>
      </c>
      <c r="I123" s="31">
        <f>IF(AND(12*años+gracia-B122&gt;0,$L$2&lt;&gt;1),G123-H123,0)</f>
        <v>7.8282594443316764</v>
      </c>
      <c r="J123" s="62"/>
      <c r="K123" s="61">
        <f t="shared" si="23"/>
        <v>3456.2409074906031</v>
      </c>
      <c r="L123" s="61">
        <f>L122*(1+$J$17)^(1/12)</f>
        <v>5575.4816767303191</v>
      </c>
      <c r="M123" s="31">
        <f t="shared" si="24"/>
        <v>12</v>
      </c>
      <c r="N123" s="31">
        <f t="shared" si="25"/>
        <v>0</v>
      </c>
      <c r="O123" s="31">
        <f t="shared" si="26"/>
        <v>-2.25</v>
      </c>
      <c r="P123" s="62"/>
      <c r="Q123" s="31">
        <f t="shared" si="19"/>
        <v>-9.4187204844152248</v>
      </c>
      <c r="R123" s="31">
        <f>SUM($Q$36:Q123)</f>
        <v>-1414.8286821441216</v>
      </c>
      <c r="S123" s="83">
        <f>IF($L$2&lt;&gt;1,-(R123-$R$36)/B123*12/$Q$36,0)</f>
        <v>-0.18982977126802536</v>
      </c>
      <c r="T123" s="31">
        <f>SUMPRODUCT($Q$36:Q123,$E$36:E123)/E123-R123</f>
        <v>-403.12024385032714</v>
      </c>
      <c r="U123" s="31">
        <f t="shared" si="20"/>
        <v>704.41208709559487</v>
      </c>
      <c r="V123" s="31">
        <f t="shared" si="21"/>
        <v>1299.812087095595</v>
      </c>
      <c r="W123" s="80" cm="1">
        <f t="array" ref="W123">IF($L$2&lt;&gt;1,IRR(IF(ROW($Q$36:Q123)=ROW(Q123),Q123+L123-K123,$Q$36:Q123),W122/12)*12,0)</f>
        <v>7.5953158619441297E-2</v>
      </c>
      <c r="X123" s="83">
        <f>(1+W123/12)^(B123)-1</f>
        <v>0.73139083351564027</v>
      </c>
    </row>
    <row r="124" spans="2:24" x14ac:dyDescent="0.25">
      <c r="B124" s="33">
        <v>88</v>
      </c>
      <c r="C124" s="81">
        <f t="shared" si="17"/>
        <v>7.333333333333333</v>
      </c>
      <c r="D124" s="105">
        <f t="shared" si="18"/>
        <v>3.9789301544717048E-3</v>
      </c>
      <c r="E124" s="106">
        <f t="shared" si="22"/>
        <v>0.70507500414397795</v>
      </c>
      <c r="F124" s="60">
        <f>rate</f>
        <v>3.2737397821989145E-3</v>
      </c>
      <c r="G124" s="31">
        <f>IF(AND(B123&gt;=gracia,12*años+gracia-B123&gt;0,$L$2&lt;&gt;1),PMT(F123,12*años-B123+gracia,-K123),0)</f>
        <v>19.168720484415225</v>
      </c>
      <c r="H124" s="31">
        <f>IF(AND(12*años+gracia-B123&gt;0,$L$2&lt;&gt;1),K123*F124,0)</f>
        <v>11.314833355715265</v>
      </c>
      <c r="I124" s="31">
        <f>IF(AND(12*años+gracia-B123&gt;0,$L$2&lt;&gt;1),G124-H124,0)</f>
        <v>7.8538871286999594</v>
      </c>
      <c r="J124" s="62"/>
      <c r="K124" s="61">
        <f t="shared" si="23"/>
        <v>3448.3870203619031</v>
      </c>
      <c r="L124" s="61">
        <f>L123*(1+$J$17)^(1/12)</f>
        <v>5589.2323186556723</v>
      </c>
      <c r="M124" s="31">
        <f t="shared" si="24"/>
        <v>12</v>
      </c>
      <c r="N124" s="31">
        <f t="shared" si="25"/>
        <v>0</v>
      </c>
      <c r="O124" s="31">
        <f t="shared" si="26"/>
        <v>-2.25</v>
      </c>
      <c r="P124" s="62"/>
      <c r="Q124" s="31">
        <f t="shared" si="19"/>
        <v>-9.4187204844152248</v>
      </c>
      <c r="R124" s="31">
        <f>SUM($Q$36:Q124)</f>
        <v>-1424.2474026285367</v>
      </c>
      <c r="S124" s="83">
        <f>IF($L$2&lt;&gt;1,-(R124-$R$36)/B124*12/$Q$36,0)</f>
        <v>-0.18982977126802536</v>
      </c>
      <c r="T124" s="31">
        <f>SUMPRODUCT($Q$36:Q124,$E$36:E124)/E124-R124</f>
        <v>-410.35373565125565</v>
      </c>
      <c r="U124" s="31">
        <f t="shared" si="20"/>
        <v>716.5978956652325</v>
      </c>
      <c r="V124" s="31">
        <f t="shared" si="21"/>
        <v>1311.9978956652326</v>
      </c>
      <c r="W124" s="80" cm="1">
        <f t="array" ref="W124">IF($L$2&lt;&gt;1,IRR(IF(ROW($Q$36:Q124)=ROW(Q124),Q124+L124-K124,$Q$36:Q124),W123/12)*12,0)</f>
        <v>7.5850032488617103E-2</v>
      </c>
      <c r="X124" s="83">
        <f>(1+W124/12)^(B124)-1</f>
        <v>0.74104065801424213</v>
      </c>
    </row>
    <row r="125" spans="2:24" x14ac:dyDescent="0.25">
      <c r="B125" s="33">
        <v>89</v>
      </c>
      <c r="C125" s="81">
        <f t="shared" si="17"/>
        <v>7.416666666666667</v>
      </c>
      <c r="D125" s="105">
        <f t="shared" si="18"/>
        <v>3.9789301544717048E-3</v>
      </c>
      <c r="E125" s="106">
        <f t="shared" si="22"/>
        <v>0.70228067837588526</v>
      </c>
      <c r="F125" s="60">
        <f>rate</f>
        <v>3.2737397821989145E-3</v>
      </c>
      <c r="G125" s="31">
        <f>IF(AND(B124&gt;=gracia,12*años+gracia-B124&gt;0,$L$2&lt;&gt;1),PMT(F124,12*años-B124+gracia,-K124),0)</f>
        <v>19.168720484415225</v>
      </c>
      <c r="H125" s="31">
        <f>IF(AND(12*años+gracia-B124&gt;0,$L$2&lt;&gt;1),K124*F125,0)</f>
        <v>11.28912177297714</v>
      </c>
      <c r="I125" s="31">
        <f>IF(AND(12*años+gracia-B124&gt;0,$L$2&lt;&gt;1),G125-H125,0)</f>
        <v>7.879598711438085</v>
      </c>
      <c r="J125" s="62"/>
      <c r="K125" s="61">
        <f t="shared" si="23"/>
        <v>3440.5074216504649</v>
      </c>
      <c r="L125" s="61">
        <f>L124*(1+$J$17)^(1/12)</f>
        <v>5603.0168733735554</v>
      </c>
      <c r="M125" s="31">
        <f t="shared" si="24"/>
        <v>12</v>
      </c>
      <c r="N125" s="31">
        <f t="shared" si="25"/>
        <v>0</v>
      </c>
      <c r="O125" s="31">
        <f t="shared" si="26"/>
        <v>-2.25</v>
      </c>
      <c r="P125" s="62"/>
      <c r="Q125" s="31">
        <f t="shared" si="19"/>
        <v>-9.4187204844152248</v>
      </c>
      <c r="R125" s="31">
        <f>SUM($Q$36:Q125)</f>
        <v>-1433.6661231129519</v>
      </c>
      <c r="S125" s="83">
        <f>IF($L$2&lt;&gt;1,-(R125-$R$36)/B125*12/$Q$36,0)</f>
        <v>-0.18982977126802536</v>
      </c>
      <c r="T125" s="31">
        <f>SUMPRODUCT($Q$36:Q125,$E$36:E125)/E125-R125</f>
        <v>-417.65348544178551</v>
      </c>
      <c r="U125" s="31">
        <f t="shared" si="20"/>
        <v>728.843328610139</v>
      </c>
      <c r="V125" s="31">
        <f t="shared" si="21"/>
        <v>1324.2433286101391</v>
      </c>
      <c r="W125" s="80" cm="1">
        <f t="array" ref="W125">IF($L$2&lt;&gt;1,IRR(IF(ROW($Q$36:Q125)=ROW(Q125),Q125+L125-K125,$Q$36:Q125),W124/12)*12,0)</f>
        <v>7.5744157798119716E-2</v>
      </c>
      <c r="X125" s="83">
        <f>(1+W125/12)^(B125)-1</f>
        <v>0.75067888777150338</v>
      </c>
    </row>
    <row r="126" spans="2:24" x14ac:dyDescent="0.25">
      <c r="B126" s="33">
        <v>90</v>
      </c>
      <c r="C126" s="81">
        <f t="shared" si="17"/>
        <v>7.5</v>
      </c>
      <c r="D126" s="105">
        <f t="shared" si="18"/>
        <v>3.9789301544717048E-3</v>
      </c>
      <c r="E126" s="106">
        <f t="shared" si="22"/>
        <v>0.69949742697073602</v>
      </c>
      <c r="F126" s="60">
        <f>rate</f>
        <v>3.2737397821989145E-3</v>
      </c>
      <c r="G126" s="31">
        <f>IF(AND(B125&gt;=gracia,12*años+gracia-B125&gt;0,$L$2&lt;&gt;1),PMT(F125,12*años-B125+gracia,-K125),0)</f>
        <v>19.168720484415221</v>
      </c>
      <c r="H126" s="31">
        <f>IF(AND(12*años+gracia-B125&gt;0,$L$2&lt;&gt;1),K125*F126,0)</f>
        <v>11.263326017207742</v>
      </c>
      <c r="I126" s="31">
        <f>IF(AND(12*años+gracia-B125&gt;0,$L$2&lt;&gt;1),G126-H126,0)</f>
        <v>7.9053944672074792</v>
      </c>
      <c r="J126" s="62"/>
      <c r="K126" s="61">
        <f t="shared" si="23"/>
        <v>3432.6020271832576</v>
      </c>
      <c r="L126" s="61">
        <f>L125*(1+$J$17)^(1/12)</f>
        <v>5616.8354245220644</v>
      </c>
      <c r="M126" s="31">
        <f t="shared" si="24"/>
        <v>12</v>
      </c>
      <c r="N126" s="31">
        <f t="shared" si="25"/>
        <v>0</v>
      </c>
      <c r="O126" s="31">
        <f t="shared" si="26"/>
        <v>-2.25</v>
      </c>
      <c r="P126" s="62"/>
      <c r="Q126" s="31">
        <f t="shared" si="19"/>
        <v>-9.4187204844152213</v>
      </c>
      <c r="R126" s="31">
        <f>SUM($Q$36:Q126)</f>
        <v>-1443.0848435973671</v>
      </c>
      <c r="S126" s="83">
        <f>IF($L$2&lt;&gt;1,-(R126-$R$36)/B126*12/$Q$36,0)</f>
        <v>-0.18982977126802536</v>
      </c>
      <c r="T126" s="31">
        <f>SUMPRODUCT($Q$36:Q126,$E$36:E126)/E126-R126</f>
        <v>-425.01975685782895</v>
      </c>
      <c r="U126" s="31">
        <f t="shared" si="20"/>
        <v>741.14855374144008</v>
      </c>
      <c r="V126" s="31">
        <f t="shared" si="21"/>
        <v>1336.5485537414402</v>
      </c>
      <c r="W126" s="80" cm="1">
        <f t="array" ref="W126">IF($L$2&lt;&gt;1,IRR(IF(ROW($Q$36:Q126)=ROW(Q126),Q126+L126-K126,$Q$36:Q126),W125/12)*12,0)</f>
        <v>7.5635720866413791E-2</v>
      </c>
      <c r="X126" s="83">
        <f>(1+W126/12)^(B126)-1</f>
        <v>0.76030597787240262</v>
      </c>
    </row>
    <row r="127" spans="2:24" x14ac:dyDescent="0.25">
      <c r="B127" s="33">
        <v>91</v>
      </c>
      <c r="C127" s="81">
        <f t="shared" si="17"/>
        <v>7.583333333333333</v>
      </c>
      <c r="D127" s="105">
        <f t="shared" si="18"/>
        <v>3.9789301544717048E-3</v>
      </c>
      <c r="E127" s="106">
        <f t="shared" si="22"/>
        <v>0.69672520603904675</v>
      </c>
      <c r="F127" s="60">
        <f>rate</f>
        <v>3.2737397821989145E-3</v>
      </c>
      <c r="G127" s="31">
        <f>IF(AND(B126&gt;=gracia,12*años+gracia-B126&gt;0,$L$2&lt;&gt;1),PMT(F126,12*años-B126+gracia,-K126),0)</f>
        <v>19.168720484415225</v>
      </c>
      <c r="H127" s="31">
        <f>IF(AND(12*años+gracia-B126&gt;0,$L$2&lt;&gt;1),K126*F127,0)</f>
        <v>11.23744581284647</v>
      </c>
      <c r="I127" s="31">
        <f>IF(AND(12*años+gracia-B126&gt;0,$L$2&lt;&gt;1),G127-H127,0)</f>
        <v>7.9312746715687545</v>
      </c>
      <c r="J127" s="62"/>
      <c r="K127" s="61">
        <f t="shared" si="23"/>
        <v>3424.670752511689</v>
      </c>
      <c r="L127" s="61">
        <f>L126*(1+$J$17)^(1/12)</f>
        <v>5630.6880559455676</v>
      </c>
      <c r="M127" s="31">
        <f t="shared" si="24"/>
        <v>12</v>
      </c>
      <c r="N127" s="31">
        <f t="shared" si="25"/>
        <v>0</v>
      </c>
      <c r="O127" s="31">
        <f t="shared" si="26"/>
        <v>-2.25</v>
      </c>
      <c r="P127" s="62"/>
      <c r="Q127" s="31">
        <f t="shared" si="19"/>
        <v>-9.4187204844152248</v>
      </c>
      <c r="R127" s="31">
        <f>SUM($Q$36:Q127)</f>
        <v>-1452.5035640817823</v>
      </c>
      <c r="S127" s="83">
        <f>IF($L$2&lt;&gt;1,-(R127-$R$36)/B127*12/$Q$36,0)</f>
        <v>-0.18982977126802536</v>
      </c>
      <c r="T127" s="31">
        <f>SUMPRODUCT($Q$36:Q127,$E$36:E127)/E127-R127</f>
        <v>-432.45281458428758</v>
      </c>
      <c r="U127" s="31">
        <f t="shared" si="20"/>
        <v>753.51373935209631</v>
      </c>
      <c r="V127" s="31">
        <f t="shared" si="21"/>
        <v>1348.9137393520964</v>
      </c>
      <c r="W127" s="80" cm="1">
        <f t="array" ref="W127">IF($L$2&lt;&gt;1,IRR(IF(ROW($Q$36:Q127)=ROW(Q127),Q127+L127-K127,$Q$36:Q127),W126/12)*12,0)</f>
        <v>7.552489740823809E-2</v>
      </c>
      <c r="X127" s="83">
        <f>(1+W127/12)^(B127)-1</f>
        <v>0.76992237539757058</v>
      </c>
    </row>
    <row r="128" spans="2:24" x14ac:dyDescent="0.25">
      <c r="B128" s="33">
        <v>92</v>
      </c>
      <c r="C128" s="81">
        <f t="shared" si="17"/>
        <v>7.666666666666667</v>
      </c>
      <c r="D128" s="105">
        <f t="shared" si="18"/>
        <v>3.9789301544717048E-3</v>
      </c>
      <c r="E128" s="106">
        <f t="shared" si="22"/>
        <v>0.69396397186527503</v>
      </c>
      <c r="F128" s="60">
        <f>rate</f>
        <v>3.2737397821989145E-3</v>
      </c>
      <c r="G128" s="31">
        <f>IF(AND(B127&gt;=gracia,12*años+gracia-B127&gt;0,$L$2&lt;&gt;1),PMT(F127,12*años-B127+gracia,-K127),0)</f>
        <v>19.168720484415225</v>
      </c>
      <c r="H128" s="31">
        <f>IF(AND(12*años+gracia-B127&gt;0,$L$2&lt;&gt;1),K127*F128,0)</f>
        <v>11.211480883430609</v>
      </c>
      <c r="I128" s="31">
        <f>IF(AND(12*años+gracia-B127&gt;0,$L$2&lt;&gt;1),G128-H128,0)</f>
        <v>7.9572396009846162</v>
      </c>
      <c r="J128" s="62"/>
      <c r="K128" s="61">
        <f t="shared" si="23"/>
        <v>3416.7135129107046</v>
      </c>
      <c r="L128" s="61">
        <f>L127*(1+$J$17)^(1/12)</f>
        <v>5644.5748516952171</v>
      </c>
      <c r="M128" s="31">
        <f t="shared" si="24"/>
        <v>12</v>
      </c>
      <c r="N128" s="31">
        <f t="shared" si="25"/>
        <v>0</v>
      </c>
      <c r="O128" s="31">
        <f t="shared" si="26"/>
        <v>-2.25</v>
      </c>
      <c r="P128" s="62"/>
      <c r="Q128" s="31">
        <f t="shared" si="19"/>
        <v>-9.4187204844152248</v>
      </c>
      <c r="R128" s="31">
        <f>SUM($Q$36:Q128)</f>
        <v>-1461.9222845661975</v>
      </c>
      <c r="S128" s="83">
        <f>IF($L$2&lt;&gt;1,-(R128-$R$36)/B128*12/$Q$36,0)</f>
        <v>-0.18982977126802536</v>
      </c>
      <c r="T128" s="31">
        <f>SUMPRODUCT($Q$36:Q128,$E$36:E128)/E128-R128</f>
        <v>-439.95292435922579</v>
      </c>
      <c r="U128" s="31">
        <f t="shared" si="20"/>
        <v>765.9390542183155</v>
      </c>
      <c r="V128" s="31">
        <f t="shared" si="21"/>
        <v>1361.3390542183156</v>
      </c>
      <c r="W128" s="80" cm="1">
        <f t="array" ref="W128">IF($L$2&lt;&gt;1,IRR(IF(ROW($Q$36:Q128)=ROW(Q128),Q128+L128-K128,$Q$36:Q128),W127/12)*12,0)</f>
        <v>7.5411853189628175E-2</v>
      </c>
      <c r="X128" s="83">
        <f>(1+W128/12)^(B128)-1</f>
        <v>0.77952851963679559</v>
      </c>
    </row>
    <row r="129" spans="2:24" x14ac:dyDescent="0.25">
      <c r="B129" s="33">
        <v>93</v>
      </c>
      <c r="C129" s="81">
        <f t="shared" si="17"/>
        <v>7.75</v>
      </c>
      <c r="D129" s="105">
        <f t="shared" si="18"/>
        <v>3.9789301544717048E-3</v>
      </c>
      <c r="E129" s="106">
        <f t="shared" si="22"/>
        <v>0.69121368090713031</v>
      </c>
      <c r="F129" s="60">
        <f>rate</f>
        <v>3.2737397821989145E-3</v>
      </c>
      <c r="G129" s="31">
        <f>IF(AND(B128&gt;=gracia,12*años+gracia-B128&gt;0,$L$2&lt;&gt;1),PMT(F128,12*años-B128+gracia,-K128),0)</f>
        <v>19.168720484415225</v>
      </c>
      <c r="H129" s="31">
        <f>IF(AND(12*años+gracia-B128&gt;0,$L$2&lt;&gt;1),K128*F129,0)</f>
        <v>11.185430951592378</v>
      </c>
      <c r="I129" s="31">
        <f>IF(AND(12*años+gracia-B128&gt;0,$L$2&lt;&gt;1),G129-H129,0)</f>
        <v>7.9832895328228464</v>
      </c>
      <c r="J129" s="62"/>
      <c r="K129" s="61">
        <f t="shared" si="23"/>
        <v>3408.7302233778819</v>
      </c>
      <c r="L129" s="61">
        <f>L128*(1+$J$17)^(1/12)</f>
        <v>5658.4958960294589</v>
      </c>
      <c r="M129" s="31">
        <f t="shared" si="24"/>
        <v>12</v>
      </c>
      <c r="N129" s="31">
        <f t="shared" si="25"/>
        <v>0</v>
      </c>
      <c r="O129" s="31">
        <f t="shared" si="26"/>
        <v>-2.25</v>
      </c>
      <c r="P129" s="62"/>
      <c r="Q129" s="31">
        <f t="shared" si="19"/>
        <v>-9.4187204844152248</v>
      </c>
      <c r="R129" s="31">
        <f>SUM($Q$36:Q129)</f>
        <v>-1471.3410050506127</v>
      </c>
      <c r="S129" s="83">
        <f>IF($L$2&lt;&gt;1,-(R129-$R$36)/B129*12/$Q$36,0)</f>
        <v>-0.18982977126802536</v>
      </c>
      <c r="T129" s="31">
        <f>SUMPRODUCT($Q$36:Q129,$E$36:E129)/E129-R129</f>
        <v>-447.52035297806151</v>
      </c>
      <c r="U129" s="31">
        <f t="shared" si="20"/>
        <v>778.42466760096431</v>
      </c>
      <c r="V129" s="31">
        <f t="shared" si="21"/>
        <v>1373.8246676009644</v>
      </c>
      <c r="W129" s="80" cm="1">
        <f t="array" ref="W129">IF($L$2&lt;&gt;1,IRR(IF(ROW($Q$36:Q129)=ROW(Q129),Q129+L129-K129,$Q$36:Q129),W128/12)*12,0)</f>
        <v>7.529674463759406E-2</v>
      </c>
      <c r="X129" s="83">
        <f>(1+W129/12)^(B129)-1</f>
        <v>0.78912484229597157</v>
      </c>
    </row>
    <row r="130" spans="2:24" x14ac:dyDescent="0.25">
      <c r="B130" s="33">
        <v>94</v>
      </c>
      <c r="C130" s="81">
        <f t="shared" si="17"/>
        <v>7.833333333333333</v>
      </c>
      <c r="D130" s="105">
        <f t="shared" si="18"/>
        <v>3.9789301544717048E-3</v>
      </c>
      <c r="E130" s="106">
        <f t="shared" si="22"/>
        <v>0.6884742897948869</v>
      </c>
      <c r="F130" s="60">
        <f>rate</f>
        <v>3.2737397821989145E-3</v>
      </c>
      <c r="G130" s="31">
        <f>IF(AND(B129&gt;=gracia,12*años+gracia-B129&gt;0,$L$2&lt;&gt;1),PMT(F129,12*años-B129+gracia,-K129),0)</f>
        <v>19.168720484415225</v>
      </c>
      <c r="H130" s="31">
        <f>IF(AND(12*años+gracia-B129&gt;0,$L$2&lt;&gt;1),K129*F130,0)</f>
        <v>11.159295739055963</v>
      </c>
      <c r="I130" s="31">
        <f>IF(AND(12*años+gracia-B129&gt;0,$L$2&lt;&gt;1),G130-H130,0)</f>
        <v>8.0094247453592615</v>
      </c>
      <c r="J130" s="62"/>
      <c r="K130" s="61">
        <f t="shared" si="23"/>
        <v>3400.7207986325225</v>
      </c>
      <c r="L130" s="61">
        <f>L129*(1+$J$17)^(1/12)</f>
        <v>5672.451273414541</v>
      </c>
      <c r="M130" s="31">
        <f t="shared" si="24"/>
        <v>12</v>
      </c>
      <c r="N130" s="31">
        <f t="shared" si="25"/>
        <v>0</v>
      </c>
      <c r="O130" s="31">
        <f t="shared" si="26"/>
        <v>-2.25</v>
      </c>
      <c r="P130" s="62"/>
      <c r="Q130" s="31">
        <f t="shared" si="19"/>
        <v>-9.4187204844152248</v>
      </c>
      <c r="R130" s="31">
        <f>SUM($Q$36:Q130)</f>
        <v>-1480.7597255350279</v>
      </c>
      <c r="S130" s="83">
        <f>IF($L$2&lt;&gt;1,-(R130-$R$36)/B130*12/$Q$36,0)</f>
        <v>-0.18982977126802536</v>
      </c>
      <c r="T130" s="31">
        <f>SUMPRODUCT($Q$36:Q130,$E$36:E130)/E130-R130</f>
        <v>-455.15536829777261</v>
      </c>
      <c r="U130" s="31">
        <f t="shared" si="20"/>
        <v>790.97074924699064</v>
      </c>
      <c r="V130" s="31">
        <f t="shared" si="21"/>
        <v>1386.3707492469907</v>
      </c>
      <c r="W130" s="80" cm="1">
        <f t="array" ref="W130">IF($L$2&lt;&gt;1,IRR(IF(ROW($Q$36:Q130)=ROW(Q130),Q130+L130-K130,$Q$36:Q130),W129/12)*12,0)</f>
        <v>7.5179719407887369E-2</v>
      </c>
      <c r="X130" s="83">
        <f>(1+W130/12)^(B130)-1</f>
        <v>0.79871176769702457</v>
      </c>
    </row>
    <row r="131" spans="2:24" x14ac:dyDescent="0.25">
      <c r="B131" s="33">
        <v>95</v>
      </c>
      <c r="C131" s="81">
        <f t="shared" si="17"/>
        <v>7.916666666666667</v>
      </c>
      <c r="D131" s="105">
        <f t="shared" si="18"/>
        <v>3.9789301544717048E-3</v>
      </c>
      <c r="E131" s="106">
        <f t="shared" si="22"/>
        <v>0.68574575533070059</v>
      </c>
      <c r="F131" s="60">
        <f>rate</f>
        <v>3.2737397821989145E-3</v>
      </c>
      <c r="G131" s="31">
        <f>IF(AND(B130&gt;=gracia,12*años+gracia-B130&gt;0,$L$2&lt;&gt;1),PMT(F130,12*años-B130+gracia,-K130),0)</f>
        <v>19.168720484415228</v>
      </c>
      <c r="H131" s="31">
        <f>IF(AND(12*años+gracia-B130&gt;0,$L$2&lt;&gt;1),K130*F131,0)</f>
        <v>11.133074966634553</v>
      </c>
      <c r="I131" s="31">
        <f>IF(AND(12*años+gracia-B130&gt;0,$L$2&lt;&gt;1),G131-H131,0)</f>
        <v>8.0356455177806758</v>
      </c>
      <c r="J131" s="62"/>
      <c r="K131" s="61">
        <f t="shared" si="23"/>
        <v>3392.6851531147418</v>
      </c>
      <c r="L131" s="61">
        <f>L130*(1+$J$17)^(1/12)</f>
        <v>5686.4410685250286</v>
      </c>
      <c r="M131" s="31">
        <f t="shared" si="24"/>
        <v>12</v>
      </c>
      <c r="N131" s="31">
        <f t="shared" si="25"/>
        <v>0</v>
      </c>
      <c r="O131" s="31">
        <f t="shared" si="26"/>
        <v>-2.25</v>
      </c>
      <c r="P131" s="62"/>
      <c r="Q131" s="31">
        <f t="shared" si="19"/>
        <v>-9.4187204844152284</v>
      </c>
      <c r="R131" s="31">
        <f>SUM($Q$36:Q131)</f>
        <v>-1490.1784460194431</v>
      </c>
      <c r="S131" s="83">
        <f>IF($L$2&lt;&gt;1,-(R131-$R$36)/B131*12/$Q$36,0)</f>
        <v>-0.18982977126802536</v>
      </c>
      <c r="T131" s="31">
        <f>SUMPRODUCT($Q$36:Q131,$E$36:E131)/E131-R131</f>
        <v>-462.85823924112083</v>
      </c>
      <c r="U131" s="31">
        <f t="shared" si="20"/>
        <v>803.57746939084336</v>
      </c>
      <c r="V131" s="31">
        <f t="shared" si="21"/>
        <v>1398.9774693908435</v>
      </c>
      <c r="W131" s="80" cm="1">
        <f t="array" ref="W131">IF($L$2&lt;&gt;1,IRR(IF(ROW($Q$36:Q131)=ROW(Q131),Q131+L131-K131,$Q$36:Q131),W130/12)*12,0)</f>
        <v>7.5060916914148734E-2</v>
      </c>
      <c r="X131" s="83">
        <f>(1+W131/12)^(B131)-1</f>
        <v>0.80828971297127694</v>
      </c>
    </row>
    <row r="132" spans="2:24" x14ac:dyDescent="0.25">
      <c r="B132" s="33">
        <v>96</v>
      </c>
      <c r="C132" s="81">
        <f t="shared" si="17"/>
        <v>8</v>
      </c>
      <c r="D132" s="105">
        <f t="shared" si="18"/>
        <v>3.9789301544717048E-3</v>
      </c>
      <c r="E132" s="106">
        <f t="shared" si="22"/>
        <v>0.68302803448792704</v>
      </c>
      <c r="F132" s="60">
        <f>rate</f>
        <v>3.2737397821989145E-3</v>
      </c>
      <c r="G132" s="31">
        <f>IF(AND(B131&gt;=gracia,12*años+gracia-B131&gt;0,$L$2&lt;&gt;1),PMT(F131,12*años-B131+gracia,-K131),0)</f>
        <v>19.168720484415225</v>
      </c>
      <c r="H132" s="31">
        <f>IF(AND(12*años+gracia-B131&gt;0,$L$2&lt;&gt;1),K131*F132,0)</f>
        <v>11.106768354227345</v>
      </c>
      <c r="I132" s="31">
        <f>IF(AND(12*años+gracia-B131&gt;0,$L$2&lt;&gt;1),G132-H132,0)</f>
        <v>8.0619521301878798</v>
      </c>
      <c r="J132" s="62"/>
      <c r="K132" s="61">
        <f t="shared" si="23"/>
        <v>3384.6232009845539</v>
      </c>
      <c r="L132" s="61">
        <f>L131*(1+$J$17)^(1/12)</f>
        <v>5700.4653662443179</v>
      </c>
      <c r="M132" s="31">
        <f t="shared" si="24"/>
        <v>12</v>
      </c>
      <c r="N132" s="31">
        <f t="shared" si="25"/>
        <v>0</v>
      </c>
      <c r="O132" s="31">
        <f t="shared" si="26"/>
        <v>-2.25</v>
      </c>
      <c r="P132" s="62"/>
      <c r="Q132" s="31">
        <f t="shared" si="19"/>
        <v>-9.4187204844152248</v>
      </c>
      <c r="R132" s="31">
        <f>SUM($Q$36:Q132)</f>
        <v>-1499.5971665038583</v>
      </c>
      <c r="S132" s="83">
        <f>IF($L$2&lt;&gt;1,-(R132-$R$36)/B132*12/$Q$36,0)</f>
        <v>-0.18982977126802536</v>
      </c>
      <c r="T132" s="31">
        <f>SUMPRODUCT($Q$36:Q132,$E$36:E132)/E132-R132</f>
        <v>-470.62923580089341</v>
      </c>
      <c r="U132" s="31">
        <f t="shared" si="20"/>
        <v>816.24499875590573</v>
      </c>
      <c r="V132" s="31">
        <f t="shared" si="21"/>
        <v>1411.6449987559058</v>
      </c>
      <c r="W132" s="80" cm="1">
        <f t="array" ref="W132">IF($L$2&lt;&gt;1,IRR(IF(ROW($Q$36:Q132)=ROW(Q132),Q132+L132-K132,$Q$36:Q132),W131/12)*12,0)</f>
        <v>7.4940468821350414E-2</v>
      </c>
      <c r="X132" s="83">
        <f>(1+W132/12)^(B132)-1</f>
        <v>0.8178590882468908</v>
      </c>
    </row>
    <row r="133" spans="2:24" x14ac:dyDescent="0.25">
      <c r="B133" s="33">
        <v>97</v>
      </c>
      <c r="C133" s="81">
        <f t="shared" si="17"/>
        <v>8.0833333333333339</v>
      </c>
      <c r="D133" s="105">
        <f t="shared" si="18"/>
        <v>3.9789301544717048E-3</v>
      </c>
      <c r="E133" s="106">
        <f t="shared" si="22"/>
        <v>0.68032108441044348</v>
      </c>
      <c r="F133" s="60">
        <f>rate</f>
        <v>3.2737397821989145E-3</v>
      </c>
      <c r="G133" s="31">
        <f>IF(AND(B132&gt;=gracia,12*años+gracia-B132&gt;0,$L$2&lt;&gt;1),PMT(F132,12*años-B132+gracia,-K132),0)</f>
        <v>19.168720484415225</v>
      </c>
      <c r="H133" s="31">
        <f>IF(AND(12*años+gracia-B132&gt;0,$L$2&lt;&gt;1),K132*F133,0)</f>
        <v>11.080375620816566</v>
      </c>
      <c r="I133" s="31">
        <f>IF(AND(12*años+gracia-B132&gt;0,$L$2&lt;&gt;1),G133-H133,0)</f>
        <v>8.0883448635986586</v>
      </c>
      <c r="J133" s="62"/>
      <c r="K133" s="61">
        <f t="shared" si="23"/>
        <v>3376.5348561209553</v>
      </c>
      <c r="L133" s="61">
        <f>L132*(1+$J$17)^(1/12)</f>
        <v>5714.5242516651506</v>
      </c>
      <c r="M133" s="31">
        <f t="shared" si="24"/>
        <v>12</v>
      </c>
      <c r="N133" s="31">
        <f t="shared" si="25"/>
        <v>0</v>
      </c>
      <c r="O133" s="31">
        <f t="shared" si="26"/>
        <v>-2.25</v>
      </c>
      <c r="P133" s="62"/>
      <c r="Q133" s="31">
        <f t="shared" si="19"/>
        <v>-9.4187204844152248</v>
      </c>
      <c r="R133" s="31">
        <f>SUM($Q$36:Q133)</f>
        <v>-1509.0158869882735</v>
      </c>
      <c r="S133" s="83">
        <f>IF($L$2&lt;&gt;1,-(R133-$R$36)/B133*12/$Q$36,0)</f>
        <v>-0.18982977126802536</v>
      </c>
      <c r="T133" s="31">
        <f>SUMPRODUCT($Q$36:Q133,$E$36:E133)/E133-R133</f>
        <v>-478.46862904416002</v>
      </c>
      <c r="U133" s="31">
        <f t="shared" si="20"/>
        <v>828.97350855592231</v>
      </c>
      <c r="V133" s="31">
        <f t="shared" si="21"/>
        <v>1424.3735085559224</v>
      </c>
      <c r="W133" s="80" cm="1">
        <f t="array" ref="W133">IF($L$2&lt;&gt;1,IRR(IF(ROW($Q$36:Q133)=ROW(Q133),Q133+L133-K133,$Q$36:Q133),W132/12)*12,0)</f>
        <v>7.4818499506249303E-2</v>
      </c>
      <c r="X133" s="83">
        <f>(1+W133/12)^(B133)-1</f>
        <v>0.82742029683015428</v>
      </c>
    </row>
    <row r="134" spans="2:24" x14ac:dyDescent="0.25">
      <c r="B134" s="33">
        <v>98</v>
      </c>
      <c r="C134" s="81">
        <f t="shared" si="17"/>
        <v>8.1666666666666661</v>
      </c>
      <c r="D134" s="105">
        <f t="shared" si="18"/>
        <v>3.9789301544717048E-3</v>
      </c>
      <c r="E134" s="106">
        <f t="shared" si="22"/>
        <v>0.67762486241197273</v>
      </c>
      <c r="F134" s="60">
        <f>rate</f>
        <v>3.2737397821989145E-3</v>
      </c>
      <c r="G134" s="31">
        <f>IF(AND(B133&gt;=gracia,12*años+gracia-B133&gt;0,$L$2&lt;&gt;1),PMT(F133,12*años-B133+gracia,-K133),0)</f>
        <v>19.168720484415225</v>
      </c>
      <c r="H134" s="31">
        <f>IF(AND(12*años+gracia-B133&gt;0,$L$2&lt;&gt;1),K133*F134,0)</f>
        <v>11.05389648446446</v>
      </c>
      <c r="I134" s="31">
        <f>IF(AND(12*años+gracia-B133&gt;0,$L$2&lt;&gt;1),G134-H134,0)</f>
        <v>8.1148239999507652</v>
      </c>
      <c r="J134" s="62"/>
      <c r="K134" s="61">
        <f t="shared" si="23"/>
        <v>3368.4200321210046</v>
      </c>
      <c r="L134" s="61">
        <f>L133*(1+$J$17)^(1/12)</f>
        <v>5728.6178100901288</v>
      </c>
      <c r="M134" s="31">
        <f t="shared" si="24"/>
        <v>12</v>
      </c>
      <c r="N134" s="31">
        <f t="shared" si="25"/>
        <v>0</v>
      </c>
      <c r="O134" s="31">
        <f t="shared" si="26"/>
        <v>-2.25</v>
      </c>
      <c r="P134" s="62"/>
      <c r="Q134" s="31">
        <f t="shared" si="19"/>
        <v>-9.4187204844152248</v>
      </c>
      <c r="R134" s="31">
        <f>SUM($Q$36:Q134)</f>
        <v>-1518.4346074726886</v>
      </c>
      <c r="S134" s="83">
        <f>IF($L$2&lt;&gt;1,-(R134-$R$36)/B134*12/$Q$36,0)</f>
        <v>-0.18982977126802536</v>
      </c>
      <c r="T134" s="31">
        <f>SUMPRODUCT($Q$36:Q134,$E$36:E134)/E134-R134</f>
        <v>-486.37669111654714</v>
      </c>
      <c r="U134" s="31">
        <f t="shared" si="20"/>
        <v>841.76317049643512</v>
      </c>
      <c r="V134" s="31">
        <f t="shared" si="21"/>
        <v>1437.1631704964352</v>
      </c>
      <c r="W134" s="80" cm="1">
        <f t="array" ref="W134">IF($L$2&lt;&gt;1,IRR(IF(ROW($Q$36:Q134)=ROW(Q134),Q134+L134-K134,$Q$36:Q134),W133/12)*12,0)</f>
        <v>7.4695126487267061E-2</v>
      </c>
      <c r="X134" s="83">
        <f>(1+W134/12)^(B134)-1</f>
        <v>0.83697373538062747</v>
      </c>
    </row>
    <row r="135" spans="2:24" x14ac:dyDescent="0.25">
      <c r="B135" s="33">
        <v>99</v>
      </c>
      <c r="C135" s="81">
        <f t="shared" si="17"/>
        <v>8.25</v>
      </c>
      <c r="D135" s="105">
        <f t="shared" si="18"/>
        <v>3.9789301544717048E-3</v>
      </c>
      <c r="E135" s="106">
        <f t="shared" si="22"/>
        <v>0.6749393259754104</v>
      </c>
      <c r="F135" s="60">
        <f>rate</f>
        <v>3.2737397821989145E-3</v>
      </c>
      <c r="G135" s="31">
        <f>IF(AND(B134&gt;=gracia,12*años+gracia-B134&gt;0,$L$2&lt;&gt;1),PMT(F134,12*años-B134+gracia,-K134),0)</f>
        <v>19.168720484415225</v>
      </c>
      <c r="H135" s="31">
        <f>IF(AND(12*años+gracia-B134&gt;0,$L$2&lt;&gt;1),K134*F135,0)</f>
        <v>11.027330662310279</v>
      </c>
      <c r="I135" s="31">
        <f>IF(AND(12*años+gracia-B134&gt;0,$L$2&lt;&gt;1),G135-H135,0)</f>
        <v>8.1413898221049461</v>
      </c>
      <c r="J135" s="62"/>
      <c r="K135" s="61">
        <f t="shared" si="23"/>
        <v>3360.2786422988997</v>
      </c>
      <c r="L135" s="61">
        <f>L134*(1+$J$17)^(1/12)</f>
        <v>5742.7461270322347</v>
      </c>
      <c r="M135" s="31">
        <f t="shared" si="24"/>
        <v>12</v>
      </c>
      <c r="N135" s="31">
        <f t="shared" si="25"/>
        <v>0</v>
      </c>
      <c r="O135" s="31">
        <f t="shared" si="26"/>
        <v>-2.25</v>
      </c>
      <c r="P135" s="62"/>
      <c r="Q135" s="31">
        <f t="shared" si="19"/>
        <v>-9.4187204844152248</v>
      </c>
      <c r="R135" s="31">
        <f>SUM($Q$36:Q135)</f>
        <v>-1527.8533279571038</v>
      </c>
      <c r="S135" s="83">
        <f>IF($L$2&lt;&gt;1,-(R135-$R$36)/B135*12/$Q$36,0)</f>
        <v>-0.18982977126802536</v>
      </c>
      <c r="T135" s="31">
        <f>SUMPRODUCT($Q$36:Q135,$E$36:E135)/E135-R135</f>
        <v>-494.35369524652947</v>
      </c>
      <c r="U135" s="31">
        <f t="shared" si="20"/>
        <v>854.61415677623154</v>
      </c>
      <c r="V135" s="31">
        <f t="shared" si="21"/>
        <v>1450.0141567762316</v>
      </c>
      <c r="W135" s="80" cm="1">
        <f t="array" ref="W135">IF($L$2&lt;&gt;1,IRR(IF(ROW($Q$36:Q135)=ROW(Q135),Q135+L135-K135,$Q$36:Q135),W134/12)*12,0)</f>
        <v>7.4570460813115247E-2</v>
      </c>
      <c r="X135" s="83">
        <f>(1+W135/12)^(B135)-1</f>
        <v>0.84651979388405363</v>
      </c>
    </row>
    <row r="136" spans="2:24" x14ac:dyDescent="0.25">
      <c r="B136" s="33">
        <v>100</v>
      </c>
      <c r="C136" s="81">
        <f t="shared" si="17"/>
        <v>8.3333333333333339</v>
      </c>
      <c r="D136" s="105">
        <f t="shared" si="18"/>
        <v>3.9789301544717048E-3</v>
      </c>
      <c r="E136" s="106">
        <f t="shared" si="22"/>
        <v>0.67226443275215408</v>
      </c>
      <c r="F136" s="60">
        <f>rate</f>
        <v>3.2737397821989145E-3</v>
      </c>
      <c r="G136" s="31">
        <f>IF(AND(B135&gt;=gracia,12*años+gracia-B135&gt;0,$L$2&lt;&gt;1),PMT(F135,12*años-B135+gracia,-K135),0)</f>
        <v>19.168720484415225</v>
      </c>
      <c r="H136" s="31">
        <f>IF(AND(12*años+gracia-B135&gt;0,$L$2&lt;&gt;1),K135*F136,0)</f>
        <v>11.000677870567264</v>
      </c>
      <c r="I136" s="31">
        <f>IF(AND(12*años+gracia-B135&gt;0,$L$2&lt;&gt;1),G136-H136,0)</f>
        <v>8.1680426138479607</v>
      </c>
      <c r="J136" s="62"/>
      <c r="K136" s="61">
        <f t="shared" si="23"/>
        <v>3352.110599685052</v>
      </c>
      <c r="L136" s="61">
        <f>L135*(1+$J$17)^(1/12)</f>
        <v>5756.9092882153482</v>
      </c>
      <c r="M136" s="31">
        <f t="shared" si="24"/>
        <v>12</v>
      </c>
      <c r="N136" s="31">
        <f t="shared" si="25"/>
        <v>0</v>
      </c>
      <c r="O136" s="31">
        <f t="shared" si="26"/>
        <v>-2.25</v>
      </c>
      <c r="P136" s="62"/>
      <c r="Q136" s="31">
        <f t="shared" si="19"/>
        <v>-9.4187204844152248</v>
      </c>
      <c r="R136" s="31">
        <f>SUM($Q$36:Q136)</f>
        <v>-1537.272048441519</v>
      </c>
      <c r="S136" s="83">
        <f>IF($L$2&lt;&gt;1,-(R136-$R$36)/B136*12/$Q$36,0)</f>
        <v>-0.18982977126802536</v>
      </c>
      <c r="T136" s="31">
        <f>SUMPRODUCT($Q$36:Q136,$E$36:E136)/E136-R136</f>
        <v>-502.39991574973897</v>
      </c>
      <c r="U136" s="31">
        <f t="shared" si="20"/>
        <v>867.52664008877673</v>
      </c>
      <c r="V136" s="31">
        <f t="shared" si="21"/>
        <v>1462.9266400887768</v>
      </c>
      <c r="W136" s="80" cm="1">
        <f t="array" ref="W136">IF($L$2&lt;&gt;1,IRR(IF(ROW($Q$36:Q136)=ROW(Q136),Q136+L136-K136,$Q$36:Q136),W135/12)*12,0)</f>
        <v>7.4444607489605907E-2</v>
      </c>
      <c r="X136" s="83">
        <f>(1+W136/12)^(B136)-1</f>
        <v>0.85605885659122705</v>
      </c>
    </row>
    <row r="137" spans="2:24" x14ac:dyDescent="0.25">
      <c r="B137" s="33">
        <v>101</v>
      </c>
      <c r="C137" s="81">
        <f t="shared" si="17"/>
        <v>8.4166666666666661</v>
      </c>
      <c r="D137" s="105">
        <f t="shared" si="18"/>
        <v>3.9789301544717048E-3</v>
      </c>
      <c r="E137" s="106">
        <f t="shared" si="22"/>
        <v>0.66960014056143569</v>
      </c>
      <c r="F137" s="60">
        <f>rate</f>
        <v>3.2737397821989145E-3</v>
      </c>
      <c r="G137" s="31">
        <f>IF(AND(B136&gt;=gracia,12*años+gracia-B136&gt;0,$L$2&lt;&gt;1),PMT(F136,12*años-B136+gracia,-K136),0)</f>
        <v>19.168720484415225</v>
      </c>
      <c r="H137" s="31">
        <f>IF(AND(12*años+gracia-B136&gt;0,$L$2&lt;&gt;1),K136*F137,0)</f>
        <v>10.973937824519615</v>
      </c>
      <c r="I137" s="31">
        <f>IF(AND(12*años+gracia-B136&gt;0,$L$2&lt;&gt;1),G137-H137,0)</f>
        <v>8.1947826598956102</v>
      </c>
      <c r="J137" s="62"/>
      <c r="K137" s="61">
        <f t="shared" si="23"/>
        <v>3343.9158170251562</v>
      </c>
      <c r="L137" s="61">
        <f>L136*(1+$J$17)^(1/12)</f>
        <v>5771.1073795747679</v>
      </c>
      <c r="M137" s="31">
        <f t="shared" si="24"/>
        <v>12</v>
      </c>
      <c r="N137" s="31">
        <f t="shared" si="25"/>
        <v>0</v>
      </c>
      <c r="O137" s="31">
        <f t="shared" si="26"/>
        <v>-2.25</v>
      </c>
      <c r="P137" s="62"/>
      <c r="Q137" s="31">
        <f t="shared" si="19"/>
        <v>-9.4187204844152248</v>
      </c>
      <c r="R137" s="31">
        <f>SUM($Q$36:Q137)</f>
        <v>-1546.6907689259342</v>
      </c>
      <c r="S137" s="83">
        <f>IF($L$2&lt;&gt;1,-(R137-$R$36)/B137*12/$Q$36,0)</f>
        <v>-0.18982977126802536</v>
      </c>
      <c r="T137" s="31">
        <f>SUMPRODUCT($Q$36:Q137,$E$36:E137)/E137-R137</f>
        <v>-510.51562803329034</v>
      </c>
      <c r="U137" s="31">
        <f t="shared" si="20"/>
        <v>880.50079362367705</v>
      </c>
      <c r="V137" s="31">
        <f t="shared" si="21"/>
        <v>1475.9007936236771</v>
      </c>
      <c r="W137" s="80" cm="1">
        <f t="array" ref="W137">IF($L$2&lt;&gt;1,IRR(IF(ROW($Q$36:Q137)=ROW(Q137),Q137+L137-K137,$Q$36:Q137),W136/12)*12,0)</f>
        <v>7.4317665754996654E-2</v>
      </c>
      <c r="X137" s="83">
        <f>(1+W137/12)^(B137)-1</f>
        <v>0.86559130103888893</v>
      </c>
    </row>
    <row r="138" spans="2:24" x14ac:dyDescent="0.25">
      <c r="B138" s="33">
        <v>102</v>
      </c>
      <c r="C138" s="81">
        <f t="shared" si="17"/>
        <v>8.5</v>
      </c>
      <c r="D138" s="105">
        <f t="shared" si="18"/>
        <v>3.9789301544717048E-3</v>
      </c>
      <c r="E138" s="106">
        <f t="shared" si="22"/>
        <v>0.66694640738965638</v>
      </c>
      <c r="F138" s="60">
        <f>rate</f>
        <v>3.2737397821989145E-3</v>
      </c>
      <c r="G138" s="31">
        <f>IF(AND(B137&gt;=gracia,12*años+gracia-B137&gt;0,$L$2&lt;&gt;1),PMT(F137,12*años-B137+gracia,-K137),0)</f>
        <v>19.168720484415225</v>
      </c>
      <c r="H138" s="31">
        <f>IF(AND(12*años+gracia-B137&gt;0,$L$2&lt;&gt;1),K137*F138,0)</f>
        <v>10.947110238519441</v>
      </c>
      <c r="I138" s="31">
        <f>IF(AND(12*años+gracia-B137&gt;0,$L$2&lt;&gt;1),G138-H138,0)</f>
        <v>8.2216102458957838</v>
      </c>
      <c r="J138" s="62"/>
      <c r="K138" s="61">
        <f t="shared" si="23"/>
        <v>3335.6942067792606</v>
      </c>
      <c r="L138" s="61">
        <f>L137*(1+$J$17)^(1/12)</f>
        <v>5785.3404872577321</v>
      </c>
      <c r="M138" s="31">
        <f t="shared" si="24"/>
        <v>12</v>
      </c>
      <c r="N138" s="31">
        <f t="shared" si="25"/>
        <v>0</v>
      </c>
      <c r="O138" s="31">
        <f t="shared" si="26"/>
        <v>-2.25</v>
      </c>
      <c r="P138" s="62"/>
      <c r="Q138" s="31">
        <f t="shared" si="19"/>
        <v>-9.4187204844152248</v>
      </c>
      <c r="R138" s="31">
        <f>SUM($Q$36:Q138)</f>
        <v>-1556.1094894103494</v>
      </c>
      <c r="S138" s="83">
        <f>IF($L$2&lt;&gt;1,-(R138-$R$36)/B138*12/$Q$36,0)</f>
        <v>-0.18982977126802536</v>
      </c>
      <c r="T138" s="31">
        <f>SUMPRODUCT($Q$36:Q138,$E$36:E138)/E138-R138</f>
        <v>-518.70110860012346</v>
      </c>
      <c r="U138" s="31">
        <f t="shared" si="20"/>
        <v>893.5367910681216</v>
      </c>
      <c r="V138" s="31">
        <f t="shared" si="21"/>
        <v>1488.9367910681217</v>
      </c>
      <c r="W138" s="80" cm="1">
        <f t="array" ref="W138">IF($L$2&lt;&gt;1,IRR(IF(ROW($Q$36:Q138)=ROW(Q138),Q138+L138-K138,$Q$36:Q138),W137/12)*12,0)</f>
        <v>7.4189729458383979E-2</v>
      </c>
      <c r="X138" s="83">
        <f>(1+W138/12)^(B138)-1</f>
        <v>0.87511749894851021</v>
      </c>
    </row>
    <row r="139" spans="2:24" x14ac:dyDescent="0.25">
      <c r="B139" s="33">
        <v>103</v>
      </c>
      <c r="C139" s="81">
        <f t="shared" si="17"/>
        <v>8.5833333333333339</v>
      </c>
      <c r="D139" s="105">
        <f t="shared" si="18"/>
        <v>3.9789301544717048E-3</v>
      </c>
      <c r="E139" s="106">
        <f t="shared" si="22"/>
        <v>0.66430319138972405</v>
      </c>
      <c r="F139" s="60">
        <f>rate</f>
        <v>3.2737397821989145E-3</v>
      </c>
      <c r="G139" s="31">
        <f>IF(AND(B138&gt;=gracia,12*años+gracia-B138&gt;0,$L$2&lt;&gt;1),PMT(F138,12*años-B138+gracia,-K138),0)</f>
        <v>19.168720484415225</v>
      </c>
      <c r="H139" s="31">
        <f>IF(AND(12*años+gracia-B138&gt;0,$L$2&lt;&gt;1),K138*F139,0)</f>
        <v>10.920194825983717</v>
      </c>
      <c r="I139" s="31">
        <f>IF(AND(12*años+gracia-B138&gt;0,$L$2&lt;&gt;1),G139-H139,0)</f>
        <v>8.2485256584315074</v>
      </c>
      <c r="J139" s="62"/>
      <c r="K139" s="61">
        <f t="shared" si="23"/>
        <v>3327.4456811208292</v>
      </c>
      <c r="L139" s="61">
        <f>L138*(1+$J$17)^(1/12)</f>
        <v>5799.6086976239403</v>
      </c>
      <c r="M139" s="31">
        <f t="shared" si="24"/>
        <v>12</v>
      </c>
      <c r="N139" s="31">
        <f t="shared" si="25"/>
        <v>0</v>
      </c>
      <c r="O139" s="31">
        <f t="shared" si="26"/>
        <v>-2.25</v>
      </c>
      <c r="P139" s="62"/>
      <c r="Q139" s="31">
        <f t="shared" si="19"/>
        <v>-9.4187204844152248</v>
      </c>
      <c r="R139" s="31">
        <f>SUM($Q$36:Q139)</f>
        <v>-1565.5282098947646</v>
      </c>
      <c r="S139" s="83">
        <f>IF($L$2&lt;&gt;1,-(R139-$R$36)/B139*12/$Q$36,0)</f>
        <v>-0.18982977126802536</v>
      </c>
      <c r="T139" s="31">
        <f>SUMPRODUCT($Q$36:Q139,$E$36:E139)/E139-R139</f>
        <v>-526.95663505336461</v>
      </c>
      <c r="U139" s="31">
        <f t="shared" si="20"/>
        <v>906.63480660834648</v>
      </c>
      <c r="V139" s="31">
        <f t="shared" si="21"/>
        <v>1502.0348066083466</v>
      </c>
      <c r="W139" s="80" cm="1">
        <f t="array" ref="W139">IF($L$2&lt;&gt;1,IRR(IF(ROW($Q$36:Q139)=ROW(Q139),Q139+L139-K139,$Q$36:Q139),W138/12)*12,0)</f>
        <v>7.4060887355205551E-2</v>
      </c>
      <c r="X139" s="83">
        <f>(1+W139/12)^(B139)-1</f>
        <v>0.88463781619394455</v>
      </c>
    </row>
    <row r="140" spans="2:24" x14ac:dyDescent="0.25">
      <c r="B140" s="33">
        <v>104</v>
      </c>
      <c r="C140" s="81">
        <f t="shared" si="17"/>
        <v>8.6666666666666661</v>
      </c>
      <c r="D140" s="105">
        <f t="shared" si="18"/>
        <v>3.9789301544717048E-3</v>
      </c>
      <c r="E140" s="106">
        <f t="shared" si="22"/>
        <v>0.66167045088039311</v>
      </c>
      <c r="F140" s="60">
        <f>rate</f>
        <v>3.2737397821989145E-3</v>
      </c>
      <c r="G140" s="31">
        <f>IF(AND(B139&gt;=gracia,12*años+gracia-B139&gt;0,$L$2&lt;&gt;1),PMT(F139,12*años-B139+gracia,-K139),0)</f>
        <v>19.168720484415228</v>
      </c>
      <c r="H140" s="31">
        <f>IF(AND(12*años+gracia-B139&gt;0,$L$2&lt;&gt;1),K139*F140,0)</f>
        <v>10.893191299391223</v>
      </c>
      <c r="I140" s="31">
        <f>IF(AND(12*años+gracia-B139&gt;0,$L$2&lt;&gt;1),G140-H140,0)</f>
        <v>8.2755291850240056</v>
      </c>
      <c r="J140" s="62"/>
      <c r="K140" s="61">
        <f t="shared" si="23"/>
        <v>3319.1701519358053</v>
      </c>
      <c r="L140" s="61">
        <f>L139*(1+$J$17)^(1/12)</f>
        <v>5813.9120972460796</v>
      </c>
      <c r="M140" s="31">
        <f t="shared" si="24"/>
        <v>12</v>
      </c>
      <c r="N140" s="31">
        <f t="shared" si="25"/>
        <v>0</v>
      </c>
      <c r="O140" s="31">
        <f t="shared" si="26"/>
        <v>-2.25</v>
      </c>
      <c r="P140" s="62"/>
      <c r="Q140" s="31">
        <f t="shared" si="19"/>
        <v>-9.4187204844152284</v>
      </c>
      <c r="R140" s="31">
        <f>SUM($Q$36:Q140)</f>
        <v>-1574.9469303791798</v>
      </c>
      <c r="S140" s="83">
        <f>IF($L$2&lt;&gt;1,-(R140-$R$36)/B140*12/$Q$36,0)</f>
        <v>-0.18982977126802536</v>
      </c>
      <c r="T140" s="31">
        <f>SUMPRODUCT($Q$36:Q140,$E$36:E140)/E140-R140</f>
        <v>-535.28248610070386</v>
      </c>
      <c r="U140" s="31">
        <f t="shared" si="20"/>
        <v>919.79501493109456</v>
      </c>
      <c r="V140" s="31">
        <f t="shared" si="21"/>
        <v>1515.1950149310946</v>
      </c>
      <c r="W140" s="80" cm="1">
        <f t="array" ref="W140">IF($L$2&lt;&gt;1,IRR(IF(ROW($Q$36:Q140)=ROW(Q140),Q140+L140-K140,$Q$36:Q140),W139/12)*12,0)</f>
        <v>7.3931223395521606E-2</v>
      </c>
      <c r="X140" s="83">
        <f>(1+W140/12)^(B140)-1</f>
        <v>0.89415261294638482</v>
      </c>
    </row>
    <row r="141" spans="2:24" x14ac:dyDescent="0.25">
      <c r="B141" s="33">
        <v>105</v>
      </c>
      <c r="C141" s="81">
        <f t="shared" si="17"/>
        <v>8.75</v>
      </c>
      <c r="D141" s="105">
        <f t="shared" si="18"/>
        <v>3.9789301544717048E-3</v>
      </c>
      <c r="E141" s="106">
        <f t="shared" si="22"/>
        <v>0.65904814434560777</v>
      </c>
      <c r="F141" s="60">
        <f>rate</f>
        <v>3.2737397821989145E-3</v>
      </c>
      <c r="G141" s="31">
        <f>IF(AND(B140&gt;=gracia,12*años+gracia-B140&gt;0,$L$2&lt;&gt;1),PMT(F140,12*años-B140+gracia,-K140),0)</f>
        <v>19.168720484415228</v>
      </c>
      <c r="H141" s="31">
        <f>IF(AND(12*años+gracia-B140&gt;0,$L$2&lt;&gt;1),K140*F141,0)</f>
        <v>10.866099370279461</v>
      </c>
      <c r="I141" s="31">
        <f>IF(AND(12*años+gracia-B140&gt;0,$L$2&lt;&gt;1),G141-H141,0)</f>
        <v>8.3026211141357678</v>
      </c>
      <c r="J141" s="62"/>
      <c r="K141" s="61">
        <f t="shared" si="23"/>
        <v>3310.8675308216693</v>
      </c>
      <c r="L141" s="61">
        <f>L140*(1+$J$17)^(1/12)</f>
        <v>5828.2507729103481</v>
      </c>
      <c r="M141" s="31">
        <f t="shared" si="24"/>
        <v>12</v>
      </c>
      <c r="N141" s="31">
        <f t="shared" si="25"/>
        <v>0</v>
      </c>
      <c r="O141" s="31">
        <f t="shared" si="26"/>
        <v>-2.25</v>
      </c>
      <c r="P141" s="62"/>
      <c r="Q141" s="31">
        <f t="shared" si="19"/>
        <v>-9.4187204844152284</v>
      </c>
      <c r="R141" s="31">
        <f>SUM($Q$36:Q141)</f>
        <v>-1584.365650863595</v>
      </c>
      <c r="S141" s="83">
        <f>IF($L$2&lt;&gt;1,-(R141-$R$36)/B141*12/$Q$36,0)</f>
        <v>-0.18982977126802536</v>
      </c>
      <c r="T141" s="31">
        <f>SUMPRODUCT($Q$36:Q141,$E$36:E141)/E141-R141</f>
        <v>-543.67894155878912</v>
      </c>
      <c r="U141" s="31">
        <f t="shared" si="20"/>
        <v>933.01759122508429</v>
      </c>
      <c r="V141" s="31">
        <f t="shared" si="21"/>
        <v>1528.4175912250844</v>
      </c>
      <c r="W141" s="80" cm="1">
        <f t="array" ref="W141">IF($L$2&lt;&gt;1,IRR(IF(ROW($Q$36:Q141)=ROW(Q141),Q141+L141-K141,$Q$36:Q141),W140/12)*12,0)</f>
        <v>7.380081699428942E-2</v>
      </c>
      <c r="X141" s="83">
        <f>(1+W141/12)^(B141)-1</f>
        <v>0.90366224381569848</v>
      </c>
    </row>
    <row r="142" spans="2:24" x14ac:dyDescent="0.25">
      <c r="B142" s="33">
        <v>106</v>
      </c>
      <c r="C142" s="81">
        <f t="shared" si="17"/>
        <v>8.8333333333333339</v>
      </c>
      <c r="D142" s="105">
        <f t="shared" si="18"/>
        <v>3.9789301544717048E-3</v>
      </c>
      <c r="E142" s="106">
        <f t="shared" si="22"/>
        <v>0.6564362304338468</v>
      </c>
      <c r="F142" s="60">
        <f>rate</f>
        <v>3.2737397821989145E-3</v>
      </c>
      <c r="G142" s="31">
        <f>IF(AND(B141&gt;=gracia,12*años+gracia-B141&gt;0,$L$2&lt;&gt;1),PMT(F141,12*años-B141+gracia,-K141),0)</f>
        <v>19.168720484415228</v>
      </c>
      <c r="H142" s="31">
        <f>IF(AND(12*años+gracia-B141&gt;0,$L$2&lt;&gt;1),K141*F142,0)</f>
        <v>10.838918749241589</v>
      </c>
      <c r="I142" s="31">
        <f>IF(AND(12*años+gracia-B141&gt;0,$L$2&lt;&gt;1),G142-H142,0)</f>
        <v>8.3298017351736391</v>
      </c>
      <c r="J142" s="62"/>
      <c r="K142" s="61">
        <f t="shared" si="23"/>
        <v>3302.5377290864958</v>
      </c>
      <c r="L142" s="61">
        <f>L141*(1+$J$17)^(1/12)</f>
        <v>5842.6248116169827</v>
      </c>
      <c r="M142" s="31">
        <f t="shared" si="24"/>
        <v>12</v>
      </c>
      <c r="N142" s="31">
        <f t="shared" si="25"/>
        <v>0</v>
      </c>
      <c r="O142" s="31">
        <f t="shared" si="26"/>
        <v>-2.25</v>
      </c>
      <c r="P142" s="62"/>
      <c r="Q142" s="31">
        <f t="shared" si="19"/>
        <v>-9.4187204844152284</v>
      </c>
      <c r="R142" s="31">
        <f>SUM($Q$36:Q142)</f>
        <v>-1593.7843713480102</v>
      </c>
      <c r="S142" s="83">
        <f>IF($L$2&lt;&gt;1,-(R142-$R$36)/B142*12/$Q$36,0)</f>
        <v>-0.18982977126802536</v>
      </c>
      <c r="T142" s="31">
        <f>SUMPRODUCT($Q$36:Q142,$E$36:E142)/E142-R142</f>
        <v>-552.14628235763894</v>
      </c>
      <c r="U142" s="31">
        <f t="shared" si="20"/>
        <v>946.30271118247674</v>
      </c>
      <c r="V142" s="31">
        <f t="shared" si="21"/>
        <v>1541.7027111824768</v>
      </c>
      <c r="W142" s="80" cm="1">
        <f t="array" ref="W142">IF($L$2&lt;&gt;1,IRR(IF(ROW($Q$36:Q142)=ROW(Q142),Q142+L142-K142,$Q$36:Q142),W141/12)*12,0)</f>
        <v>7.366974328478193E-2</v>
      </c>
      <c r="X142" s="83">
        <f>(1+W142/12)^(B142)-1</f>
        <v>0.91316705798681141</v>
      </c>
    </row>
    <row r="143" spans="2:24" x14ac:dyDescent="0.25">
      <c r="B143" s="33">
        <v>107</v>
      </c>
      <c r="C143" s="81">
        <f t="shared" si="17"/>
        <v>8.9166666666666661</v>
      </c>
      <c r="D143" s="105">
        <f t="shared" si="18"/>
        <v>3.9789301544717048E-3</v>
      </c>
      <c r="E143" s="106">
        <f t="shared" si="22"/>
        <v>0.6538346679574718</v>
      </c>
      <c r="F143" s="60">
        <f>rate</f>
        <v>3.2737397821989145E-3</v>
      </c>
      <c r="G143" s="31">
        <f>IF(AND(B142&gt;=gracia,12*años+gracia-B142&gt;0,$L$2&lt;&gt;1),PMT(F142,12*años-B142+gracia,-K142),0)</f>
        <v>19.168720484415225</v>
      </c>
      <c r="H143" s="31">
        <f>IF(AND(12*años+gracia-B142&gt;0,$L$2&lt;&gt;1),K142*F143,0)</f>
        <v>10.811649145923322</v>
      </c>
      <c r="I143" s="31">
        <f>IF(AND(12*años+gracia-B142&gt;0,$L$2&lt;&gt;1),G143-H143,0)</f>
        <v>8.3570713384919024</v>
      </c>
      <c r="J143" s="62"/>
      <c r="K143" s="61">
        <f t="shared" si="23"/>
        <v>3294.1806577480038</v>
      </c>
      <c r="L143" s="61">
        <f>L142*(1+$J$17)^(1/12)</f>
        <v>5857.0343005807854</v>
      </c>
      <c r="M143" s="31">
        <f t="shared" si="24"/>
        <v>12</v>
      </c>
      <c r="N143" s="31">
        <f t="shared" si="25"/>
        <v>0</v>
      </c>
      <c r="O143" s="31">
        <f t="shared" si="26"/>
        <v>-2.25</v>
      </c>
      <c r="P143" s="62"/>
      <c r="Q143" s="31">
        <f t="shared" si="19"/>
        <v>-9.4187204844152248</v>
      </c>
      <c r="R143" s="31">
        <f>SUM($Q$36:Q143)</f>
        <v>-1603.2030918324253</v>
      </c>
      <c r="S143" s="83">
        <f>IF($L$2&lt;&gt;1,-(R143-$R$36)/B143*12/$Q$36,0)</f>
        <v>-0.18982977126802536</v>
      </c>
      <c r="T143" s="31">
        <f>SUMPRODUCT($Q$36:Q143,$E$36:E143)/E143-R143</f>
        <v>-560.68479054507361</v>
      </c>
      <c r="U143" s="31">
        <f t="shared" si="20"/>
        <v>959.65055100035624</v>
      </c>
      <c r="V143" s="31">
        <f t="shared" si="21"/>
        <v>1555.0505510003563</v>
      </c>
      <c r="W143" s="80" cm="1">
        <f t="array" ref="W143">IF($L$2&lt;&gt;1,IRR(IF(ROW($Q$36:Q143)=ROW(Q143),Q143+L143-K143,$Q$36:Q143),W142/12)*12,0)</f>
        <v>7.3538073356405498E-2</v>
      </c>
      <c r="X143" s="83">
        <f>(1+W143/12)^(B143)-1</f>
        <v>0.92266739935249187</v>
      </c>
    </row>
    <row r="144" spans="2:24" x14ac:dyDescent="0.25">
      <c r="B144" s="33">
        <v>108</v>
      </c>
      <c r="C144" s="81">
        <f t="shared" si="17"/>
        <v>9</v>
      </c>
      <c r="D144" s="105">
        <f t="shared" si="18"/>
        <v>3.9789301544717048E-3</v>
      </c>
      <c r="E144" s="106">
        <f t="shared" si="22"/>
        <v>0.65124341589207768</v>
      </c>
      <c r="F144" s="60">
        <f>rate</f>
        <v>3.2737397821989145E-3</v>
      </c>
      <c r="G144" s="31">
        <f>IF(AND(B143&gt;=gracia,12*años+gracia-B143&gt;0,$L$2&lt;&gt;1),PMT(F143,12*años-B143+gracia,-K143),0)</f>
        <v>19.168720484415225</v>
      </c>
      <c r="H144" s="31">
        <f>IF(AND(12*años+gracia-B143&gt;0,$L$2&lt;&gt;1),K143*F144,0)</f>
        <v>10.784290269019827</v>
      </c>
      <c r="I144" s="31">
        <f>IF(AND(12*años+gracia-B143&gt;0,$L$2&lt;&gt;1),G144-H144,0)</f>
        <v>8.3844302153953976</v>
      </c>
      <c r="J144" s="62"/>
      <c r="K144" s="61">
        <f t="shared" si="23"/>
        <v>3285.7962275326086</v>
      </c>
      <c r="L144" s="61">
        <f>L143*(1+$J$17)^(1/12)</f>
        <v>5871.4793272316538</v>
      </c>
      <c r="M144" s="31">
        <f t="shared" si="24"/>
        <v>12</v>
      </c>
      <c r="N144" s="31">
        <f t="shared" si="25"/>
        <v>0</v>
      </c>
      <c r="O144" s="31">
        <f t="shared" si="26"/>
        <v>-2.25</v>
      </c>
      <c r="P144" s="62"/>
      <c r="Q144" s="31">
        <f t="shared" si="19"/>
        <v>-9.4187204844152248</v>
      </c>
      <c r="R144" s="31">
        <f>SUM($Q$36:Q144)</f>
        <v>-1612.6218123168405</v>
      </c>
      <c r="S144" s="83">
        <f>IF($L$2&lt;&gt;1,-(R144-$R$36)/B144*12/$Q$36,0)</f>
        <v>-0.18982977126802536</v>
      </c>
      <c r="T144" s="31">
        <f>SUMPRODUCT($Q$36:Q144,$E$36:E144)/E144-R144</f>
        <v>-569.29474929116168</v>
      </c>
      <c r="U144" s="31">
        <f t="shared" si="20"/>
        <v>973.06128738220468</v>
      </c>
      <c r="V144" s="31">
        <f t="shared" si="21"/>
        <v>1568.4612873822048</v>
      </c>
      <c r="W144" s="80" cm="1">
        <f t="array" ref="W144">IF($L$2&lt;&gt;1,IRR(IF(ROW($Q$36:Q144)=ROW(Q144),Q144+L144-K144,$Q$36:Q144),W143/12)*12,0)</f>
        <v>7.3405874477942668E-2</v>
      </c>
      <c r="X144" s="83">
        <f>(1+W144/12)^(B144)-1</f>
        <v>0.93216360664202069</v>
      </c>
    </row>
    <row r="145" spans="2:24" x14ac:dyDescent="0.25">
      <c r="B145" s="33">
        <v>109</v>
      </c>
      <c r="C145" s="81">
        <f t="shared" si="17"/>
        <v>9.0833333333333339</v>
      </c>
      <c r="D145" s="105">
        <f t="shared" si="18"/>
        <v>3.9789301544717048E-3</v>
      </c>
      <c r="E145" s="106">
        <f t="shared" si="22"/>
        <v>0.6486624333758455</v>
      </c>
      <c r="F145" s="60">
        <f>rate</f>
        <v>3.2737397821989145E-3</v>
      </c>
      <c r="G145" s="31">
        <f>IF(AND(B144&gt;=gracia,12*años+gracia-B144&gt;0,$L$2&lt;&gt;1),PMT(F144,12*años-B144+gracia,-K144),0)</f>
        <v>19.168720484415228</v>
      </c>
      <c r="H145" s="31">
        <f>IF(AND(12*años+gracia-B144&gt;0,$L$2&lt;&gt;1),K144*F145,0)</f>
        <v>10.756841826272616</v>
      </c>
      <c r="I145" s="31">
        <f>IF(AND(12*años+gracia-B144&gt;0,$L$2&lt;&gt;1),G145-H145,0)</f>
        <v>8.4118786581426122</v>
      </c>
      <c r="J145" s="62"/>
      <c r="K145" s="61">
        <f t="shared" si="23"/>
        <v>3277.384348874466</v>
      </c>
      <c r="L145" s="61">
        <f>L144*(1+$J$17)^(1/12)</f>
        <v>5885.9599792151112</v>
      </c>
      <c r="M145" s="31">
        <f t="shared" si="24"/>
        <v>12</v>
      </c>
      <c r="N145" s="31">
        <f t="shared" si="25"/>
        <v>0</v>
      </c>
      <c r="O145" s="31">
        <f t="shared" si="26"/>
        <v>-2.25</v>
      </c>
      <c r="P145" s="62"/>
      <c r="Q145" s="31">
        <f t="shared" si="19"/>
        <v>-9.4187204844152284</v>
      </c>
      <c r="R145" s="31">
        <f>SUM($Q$36:Q145)</f>
        <v>-1622.0405328012557</v>
      </c>
      <c r="S145" s="83">
        <f>IF($L$2&lt;&gt;1,-(R145-$R$36)/B145*12/$Q$36,0)</f>
        <v>-0.18982977126802533</v>
      </c>
      <c r="T145" s="31">
        <f>SUMPRODUCT($Q$36:Q145,$E$36:E145)/E145-R145</f>
        <v>-577.9764428926851</v>
      </c>
      <c r="U145" s="31">
        <f t="shared" si="20"/>
        <v>986.53509753938943</v>
      </c>
      <c r="V145" s="31">
        <f t="shared" si="21"/>
        <v>1581.9350975393895</v>
      </c>
      <c r="W145" s="80" cm="1">
        <f t="array" ref="W145">IF($L$2&lt;&gt;1,IRR(IF(ROW($Q$36:Q145)=ROW(Q145),Q145+L145-K145,$Q$36:Q145),W144/12)*12,0)</f>
        <v>7.3273210307219117E-2</v>
      </c>
      <c r="X145" s="83">
        <f>(1+W145/12)^(B145)-1</f>
        <v>0.94165601354592332</v>
      </c>
    </row>
    <row r="146" spans="2:24" x14ac:dyDescent="0.25">
      <c r="B146" s="33">
        <v>110</v>
      </c>
      <c r="C146" s="81">
        <f t="shared" si="17"/>
        <v>9.1666666666666661</v>
      </c>
      <c r="D146" s="105">
        <f t="shared" si="18"/>
        <v>3.9789301544717048E-3</v>
      </c>
      <c r="E146" s="106">
        <f t="shared" si="22"/>
        <v>0.64609167970889847</v>
      </c>
      <c r="F146" s="60">
        <f>rate</f>
        <v>3.2737397821989145E-3</v>
      </c>
      <c r="G146" s="31">
        <f>IF(AND(B145&gt;=gracia,12*años+gracia-B145&gt;0,$L$2&lt;&gt;1),PMT(F145,12*años-B145+gracia,-K145),0)</f>
        <v>19.168720484415228</v>
      </c>
      <c r="H146" s="31">
        <f>IF(AND(12*años+gracia-B145&gt;0,$L$2&lt;&gt;1),K145*F146,0)</f>
        <v>10.729303524466426</v>
      </c>
      <c r="I146" s="31">
        <f>IF(AND(12*años+gracia-B145&gt;0,$L$2&lt;&gt;1),G146-H146,0)</f>
        <v>8.4394169599488027</v>
      </c>
      <c r="J146" s="62"/>
      <c r="K146" s="61">
        <f t="shared" si="23"/>
        <v>3268.9449319145174</v>
      </c>
      <c r="L146" s="61">
        <f>L145*(1+$J$17)^(1/12)</f>
        <v>5900.4763443928387</v>
      </c>
      <c r="M146" s="31">
        <f t="shared" si="24"/>
        <v>12</v>
      </c>
      <c r="N146" s="31">
        <f t="shared" si="25"/>
        <v>0</v>
      </c>
      <c r="O146" s="31">
        <f t="shared" si="26"/>
        <v>-2.25</v>
      </c>
      <c r="P146" s="62"/>
      <c r="Q146" s="31">
        <f t="shared" si="19"/>
        <v>-9.4187204844152284</v>
      </c>
      <c r="R146" s="31">
        <f>SUM($Q$36:Q146)</f>
        <v>-1631.4592532856709</v>
      </c>
      <c r="S146" s="83">
        <f>IF($L$2&lt;&gt;1,-(R146-$R$36)/B146*12/$Q$36,0)</f>
        <v>-0.18982977126802533</v>
      </c>
      <c r="T146" s="31">
        <f>SUMPRODUCT($Q$36:Q146,$E$36:E146)/E146-R146</f>
        <v>-586.73015677762351</v>
      </c>
      <c r="U146" s="31">
        <f t="shared" si="20"/>
        <v>1000.0721591926504</v>
      </c>
      <c r="V146" s="31">
        <f t="shared" si="21"/>
        <v>1595.4721591926505</v>
      </c>
      <c r="W146" s="80" cm="1">
        <f t="array" ref="W146">IF($L$2&lt;&gt;1,IRR(IF(ROW($Q$36:Q146)=ROW(Q146),Q146+L146-K146,$Q$36:Q146),W145/12)*12,0)</f>
        <v>7.3140141088138044E-2</v>
      </c>
      <c r="X146" s="83">
        <f>(1+W146/12)^(B146)-1</f>
        <v>0.95114494883752787</v>
      </c>
    </row>
    <row r="147" spans="2:24" x14ac:dyDescent="0.25">
      <c r="B147" s="33">
        <v>111</v>
      </c>
      <c r="C147" s="81">
        <f t="shared" si="17"/>
        <v>9.25</v>
      </c>
      <c r="D147" s="105">
        <f t="shared" si="18"/>
        <v>3.9789301544717048E-3</v>
      </c>
      <c r="E147" s="106">
        <f t="shared" si="22"/>
        <v>0.64353111435265986</v>
      </c>
      <c r="F147" s="60">
        <f>rate</f>
        <v>3.2737397821989145E-3</v>
      </c>
      <c r="G147" s="31">
        <f>IF(AND(B146&gt;=gracia,12*años+gracia-B146&gt;0,$L$2&lt;&gt;1),PMT(F146,12*años-B146+gracia,-K146),0)</f>
        <v>19.168720484415228</v>
      </c>
      <c r="H147" s="31">
        <f>IF(AND(12*años+gracia-B146&gt;0,$L$2&lt;&gt;1),K146*F147,0)</f>
        <v>10.701675069426077</v>
      </c>
      <c r="I147" s="31">
        <f>IF(AND(12*años+gracia-B146&gt;0,$L$2&lt;&gt;1),G147-H147,0)</f>
        <v>8.4670454149891512</v>
      </c>
      <c r="J147" s="62"/>
      <c r="K147" s="61">
        <f t="shared" si="23"/>
        <v>3260.4778864995283</v>
      </c>
      <c r="L147" s="61">
        <f>L146*(1+$J$17)^(1/12)</f>
        <v>5915.0285108432081</v>
      </c>
      <c r="M147" s="31">
        <f t="shared" si="24"/>
        <v>12</v>
      </c>
      <c r="N147" s="31">
        <f t="shared" si="25"/>
        <v>0</v>
      </c>
      <c r="O147" s="31">
        <f t="shared" si="26"/>
        <v>-2.25</v>
      </c>
      <c r="P147" s="62"/>
      <c r="Q147" s="31">
        <f t="shared" si="19"/>
        <v>-9.4187204844152284</v>
      </c>
      <c r="R147" s="31">
        <f>SUM($Q$36:Q147)</f>
        <v>-1640.8779737700861</v>
      </c>
      <c r="S147" s="83">
        <f>IF($L$2&lt;&gt;1,-(R147-$R$36)/B147*12/$Q$36,0)</f>
        <v>-0.18982977126802533</v>
      </c>
      <c r="T147" s="31">
        <f>SUMPRODUCT($Q$36:Q147,$E$36:E147)/E147-R147</f>
        <v>-595.55617750965393</v>
      </c>
      <c r="U147" s="31">
        <f t="shared" si="20"/>
        <v>1013.6726505735942</v>
      </c>
      <c r="V147" s="31">
        <f t="shared" si="21"/>
        <v>1609.0726505735943</v>
      </c>
      <c r="W147" s="80" cm="1">
        <f t="array" ref="W147">IF($L$2&lt;&gt;1,IRR(IF(ROW($Q$36:Q147)=ROW(Q147),Q147+L147-K147,$Q$36:Q147),W146/12)*12,0)</f>
        <v>7.3006723835886689E-2</v>
      </c>
      <c r="X147" s="83">
        <f>(1+W147/12)^(B147)-1</f>
        <v>0.9606307364904747</v>
      </c>
    </row>
    <row r="148" spans="2:24" x14ac:dyDescent="0.25">
      <c r="B148" s="33">
        <v>112</v>
      </c>
      <c r="C148" s="81">
        <f t="shared" si="17"/>
        <v>9.3333333333333339</v>
      </c>
      <c r="D148" s="105">
        <f t="shared" si="18"/>
        <v>3.9789301544717048E-3</v>
      </c>
      <c r="E148" s="106">
        <f t="shared" si="22"/>
        <v>0.64098069692921389</v>
      </c>
      <c r="F148" s="60">
        <f>rate</f>
        <v>3.2737397821989145E-3</v>
      </c>
      <c r="G148" s="31">
        <f>IF(AND(B147&gt;=gracia,12*años+gracia-B147&gt;0,$L$2&lt;&gt;1),PMT(F147,12*años-B147+gracia,-K147),0)</f>
        <v>19.168720484415228</v>
      </c>
      <c r="H148" s="31">
        <f>IF(AND(12*años+gracia-B147&gt;0,$L$2&lt;&gt;1),K147*F148,0)</f>
        <v>10.673956166013342</v>
      </c>
      <c r="I148" s="31">
        <f>IF(AND(12*años+gracia-B147&gt;0,$L$2&lt;&gt;1),G148-H148,0)</f>
        <v>8.4947643184018862</v>
      </c>
      <c r="J148" s="62"/>
      <c r="K148" s="61">
        <f t="shared" si="23"/>
        <v>3251.9831221811264</v>
      </c>
      <c r="L148" s="61">
        <f>L147*(1+$J$17)^(1/12)</f>
        <v>5929.616566861815</v>
      </c>
      <c r="M148" s="31">
        <f t="shared" si="24"/>
        <v>12</v>
      </c>
      <c r="N148" s="31">
        <f t="shared" si="25"/>
        <v>0</v>
      </c>
      <c r="O148" s="31">
        <f t="shared" si="26"/>
        <v>-2.25</v>
      </c>
      <c r="P148" s="62"/>
      <c r="Q148" s="31">
        <f t="shared" si="19"/>
        <v>-9.4187204844152284</v>
      </c>
      <c r="R148" s="31">
        <f>SUM($Q$36:Q148)</f>
        <v>-1650.2966942545013</v>
      </c>
      <c r="S148" s="83">
        <f>IF($L$2&lt;&gt;1,-(R148-$R$36)/B148*12/$Q$36,0)</f>
        <v>-0.18982977126802533</v>
      </c>
      <c r="T148" s="31">
        <f>SUMPRODUCT($Q$36:Q148,$E$36:E148)/E148-R148</f>
        <v>-604.45479279267147</v>
      </c>
      <c r="U148" s="31">
        <f t="shared" si="20"/>
        <v>1027.3367504261869</v>
      </c>
      <c r="V148" s="31">
        <f t="shared" si="21"/>
        <v>1622.736750426187</v>
      </c>
      <c r="W148" s="80" cm="1">
        <f t="array" ref="W148">IF($L$2&lt;&gt;1,IRR(IF(ROW($Q$36:Q148)=ROW(Q148),Q148+L148-K148,$Q$36:Q148),W147/12)*12,0)</f>
        <v>7.287301251113032E-2</v>
      </c>
      <c r="X148" s="83">
        <f>(1+W148/12)^(B148)-1</f>
        <v>0.9701136957929628</v>
      </c>
    </row>
    <row r="149" spans="2:24" x14ac:dyDescent="0.25">
      <c r="B149" s="33">
        <v>113</v>
      </c>
      <c r="C149" s="81">
        <f t="shared" si="17"/>
        <v>9.4166666666666661</v>
      </c>
      <c r="D149" s="105">
        <f t="shared" si="18"/>
        <v>3.9789301544717048E-3</v>
      </c>
      <c r="E149" s="106">
        <f t="shared" si="22"/>
        <v>0.63844038722066898</v>
      </c>
      <c r="F149" s="60">
        <f>rate</f>
        <v>3.2737397821989145E-3</v>
      </c>
      <c r="G149" s="31">
        <f>IF(AND(B148&gt;=gracia,12*años+gracia-B148&gt;0,$L$2&lt;&gt;1),PMT(F148,12*años-B148+gracia,-K148),0)</f>
        <v>19.168720484415228</v>
      </c>
      <c r="H149" s="31">
        <f>IF(AND(12*años+gracia-B148&gt;0,$L$2&lt;&gt;1),K148*F149,0)</f>
        <v>10.646146518123787</v>
      </c>
      <c r="I149" s="31">
        <f>IF(AND(12*años+gracia-B148&gt;0,$L$2&lt;&gt;1),G149-H149,0)</f>
        <v>8.522573966291441</v>
      </c>
      <c r="J149" s="62"/>
      <c r="K149" s="61">
        <f t="shared" si="23"/>
        <v>3243.4605482148349</v>
      </c>
      <c r="L149" s="61">
        <f>L148*(1+$J$17)^(1/12)</f>
        <v>5944.2406009620172</v>
      </c>
      <c r="M149" s="31">
        <f t="shared" si="24"/>
        <v>12</v>
      </c>
      <c r="N149" s="31">
        <f t="shared" si="25"/>
        <v>0</v>
      </c>
      <c r="O149" s="31">
        <f t="shared" si="26"/>
        <v>-2.25</v>
      </c>
      <c r="P149" s="62"/>
      <c r="Q149" s="31">
        <f t="shared" si="19"/>
        <v>-9.4187204844152284</v>
      </c>
      <c r="R149" s="31">
        <f>SUM($Q$36:Q149)</f>
        <v>-1659.7154147389165</v>
      </c>
      <c r="S149" s="83">
        <f>IF($L$2&lt;&gt;1,-(R149-$R$36)/B149*12/$Q$36,0)</f>
        <v>-0.18982977126802533</v>
      </c>
      <c r="T149" s="31">
        <f>SUMPRODUCT($Q$36:Q149,$E$36:E149)/E149-R149</f>
        <v>-613.42629147532352</v>
      </c>
      <c r="U149" s="31">
        <f t="shared" si="20"/>
        <v>1041.0646380082653</v>
      </c>
      <c r="V149" s="31">
        <f t="shared" si="21"/>
        <v>1636.4646380082654</v>
      </c>
      <c r="W149" s="80" cm="1">
        <f t="array" ref="W149">IF($L$2&lt;&gt;1,IRR(IF(ROW($Q$36:Q149)=ROW(Q149),Q149+L149-K149,$Q$36:Q149),W148/12)*12,0)</f>
        <v>7.2739058183931782E-2</v>
      </c>
      <c r="X149" s="83">
        <f>(1+W149/12)^(B149)-1</f>
        <v>0.9795941414590883</v>
      </c>
    </row>
    <row r="150" spans="2:24" x14ac:dyDescent="0.25">
      <c r="B150" s="33">
        <v>114</v>
      </c>
      <c r="C150" s="81">
        <f t="shared" si="17"/>
        <v>9.5</v>
      </c>
      <c r="D150" s="105">
        <f t="shared" si="18"/>
        <v>3.9789301544717048E-3</v>
      </c>
      <c r="E150" s="106">
        <f t="shared" si="22"/>
        <v>0.63591014516852351</v>
      </c>
      <c r="F150" s="60">
        <f>rate</f>
        <v>3.2737397821989145E-3</v>
      </c>
      <c r="G150" s="31">
        <f>IF(AND(B149&gt;=gracia,12*años+gracia-B149&gt;0,$L$2&lt;&gt;1),PMT(F149,12*años-B149+gracia,-K149),0)</f>
        <v>19.168720484415228</v>
      </c>
      <c r="H150" s="31">
        <f>IF(AND(12*años+gracia-B149&gt;0,$L$2&lt;&gt;1),K149*F150,0)</f>
        <v>10.618245828683605</v>
      </c>
      <c r="I150" s="31">
        <f>IF(AND(12*años+gracia-B149&gt;0,$L$2&lt;&gt;1),G150-H150,0)</f>
        <v>8.5504746557316231</v>
      </c>
      <c r="J150" s="62"/>
      <c r="K150" s="61">
        <f t="shared" si="23"/>
        <v>3234.9100735591032</v>
      </c>
      <c r="L150" s="61">
        <f>L149*(1+$J$17)^(1/12)</f>
        <v>5958.9007018754701</v>
      </c>
      <c r="M150" s="31">
        <f t="shared" si="24"/>
        <v>12</v>
      </c>
      <c r="N150" s="31">
        <f t="shared" si="25"/>
        <v>0</v>
      </c>
      <c r="O150" s="31">
        <f t="shared" si="26"/>
        <v>-2.25</v>
      </c>
      <c r="P150" s="62"/>
      <c r="Q150" s="31">
        <f t="shared" si="19"/>
        <v>-9.4187204844152284</v>
      </c>
      <c r="R150" s="31">
        <f>SUM($Q$36:Q150)</f>
        <v>-1669.1341352233317</v>
      </c>
      <c r="S150" s="83">
        <f>IF($L$2&lt;&gt;1,-(R150-$R$36)/B150*12/$Q$36,0)</f>
        <v>-0.18982977126802533</v>
      </c>
      <c r="T150" s="31">
        <f>SUMPRODUCT($Q$36:Q150,$E$36:E150)/E150-R150</f>
        <v>-622.47096355556641</v>
      </c>
      <c r="U150" s="31">
        <f t="shared" si="20"/>
        <v>1054.8564930930352</v>
      </c>
      <c r="V150" s="31">
        <f t="shared" si="21"/>
        <v>1650.2564930930353</v>
      </c>
      <c r="W150" s="80" cm="1">
        <f t="array" ref="W150">IF($L$2&lt;&gt;1,IRR(IF(ROW($Q$36:Q150)=ROW(Q150),Q150+L150-K150,$Q$36:Q150),W149/12)*12,0)</f>
        <v>7.2604909188038746E-2</v>
      </c>
      <c r="X150" s="83">
        <f>(1+W150/12)^(B150)-1</f>
        <v>0.98907238373658579</v>
      </c>
    </row>
    <row r="151" spans="2:24" x14ac:dyDescent="0.25">
      <c r="B151" s="33">
        <v>115</v>
      </c>
      <c r="C151" s="81">
        <f t="shared" si="17"/>
        <v>9.5833333333333339</v>
      </c>
      <c r="D151" s="105">
        <f t="shared" si="18"/>
        <v>3.9789301544717048E-3</v>
      </c>
      <c r="E151" s="106">
        <f t="shared" si="22"/>
        <v>0.63338993087303408</v>
      </c>
      <c r="F151" s="60">
        <f>rate</f>
        <v>3.2737397821989145E-3</v>
      </c>
      <c r="G151" s="31">
        <f>IF(AND(B150&gt;=gracia,12*años+gracia-B150&gt;0,$L$2&lt;&gt;1),PMT(F150,12*años-B150+gracia,-K150),0)</f>
        <v>19.168720484415228</v>
      </c>
      <c r="H151" s="31">
        <f>IF(AND(12*años+gracia-B150&gt;0,$L$2&lt;&gt;1),K150*F151,0)</f>
        <v>10.590253799646453</v>
      </c>
      <c r="I151" s="31">
        <f>IF(AND(12*años+gracia-B150&gt;0,$L$2&lt;&gt;1),G151-H151,0)</f>
        <v>8.5784666847687756</v>
      </c>
      <c r="J151" s="62"/>
      <c r="K151" s="61">
        <f t="shared" si="23"/>
        <v>3226.3316068743343</v>
      </c>
      <c r="L151" s="61">
        <f>L150*(1+$J$17)^(1/12)</f>
        <v>5973.5969585526645</v>
      </c>
      <c r="M151" s="31">
        <f t="shared" si="24"/>
        <v>12</v>
      </c>
      <c r="N151" s="31">
        <f t="shared" si="25"/>
        <v>0</v>
      </c>
      <c r="O151" s="31">
        <f t="shared" si="26"/>
        <v>-2.25</v>
      </c>
      <c r="P151" s="62"/>
      <c r="Q151" s="31">
        <f t="shared" si="19"/>
        <v>-9.4187204844152284</v>
      </c>
      <c r="R151" s="31">
        <f>SUM($Q$36:Q151)</f>
        <v>-1678.5528557077469</v>
      </c>
      <c r="S151" s="83">
        <f>IF($L$2&lt;&gt;1,-(R151-$R$36)/B151*12/$Q$36,0)</f>
        <v>-0.18982977126802533</v>
      </c>
      <c r="T151" s="31">
        <f>SUMPRODUCT($Q$36:Q151,$E$36:E151)/E151-R151</f>
        <v>-631.58910018523875</v>
      </c>
      <c r="U151" s="31">
        <f t="shared" si="20"/>
        <v>1068.7124959705834</v>
      </c>
      <c r="V151" s="31">
        <f t="shared" si="21"/>
        <v>1664.1124959705835</v>
      </c>
      <c r="W151" s="80" cm="1">
        <f t="array" ref="W151">IF($L$2&lt;&gt;1,IRR(IF(ROW($Q$36:Q151)=ROW(Q151),Q151+L151-K151,$Q$36:Q151),W150/12)*12,0)</f>
        <v>7.2470611266175489E-2</v>
      </c>
      <c r="X151" s="83">
        <f>(1+W151/12)^(B151)-1</f>
        <v>0.99854872851162457</v>
      </c>
    </row>
    <row r="152" spans="2:24" x14ac:dyDescent="0.25">
      <c r="B152" s="33">
        <v>116</v>
      </c>
      <c r="C152" s="81">
        <f t="shared" si="17"/>
        <v>9.6666666666666661</v>
      </c>
      <c r="D152" s="105">
        <f t="shared" si="18"/>
        <v>3.9789301544717048E-3</v>
      </c>
      <c r="E152" s="106">
        <f t="shared" si="22"/>
        <v>0.63087970459258647</v>
      </c>
      <c r="F152" s="60">
        <f>rate</f>
        <v>3.2737397821989145E-3</v>
      </c>
      <c r="G152" s="31">
        <f>IF(AND(B151&gt;=gracia,12*años+gracia-B151&gt;0,$L$2&lt;&gt;1),PMT(F151,12*años-B151+gracia,-K151),0)</f>
        <v>19.168720484415225</v>
      </c>
      <c r="H152" s="31">
        <f>IF(AND(12*años+gracia-B151&gt;0,$L$2&lt;&gt;1),K151*F152,0)</f>
        <v>10.562170131990257</v>
      </c>
      <c r="I152" s="31">
        <f>IF(AND(12*años+gracia-B151&gt;0,$L$2&lt;&gt;1),G152-H152,0)</f>
        <v>8.6065503524249678</v>
      </c>
      <c r="J152" s="62"/>
      <c r="K152" s="61">
        <f t="shared" si="23"/>
        <v>3217.7250565219092</v>
      </c>
      <c r="L152" s="61">
        <f>L151*(1+$J$17)^(1/12)</f>
        <v>5988.329460163468</v>
      </c>
      <c r="M152" s="31">
        <f t="shared" si="24"/>
        <v>12</v>
      </c>
      <c r="N152" s="31">
        <f t="shared" si="25"/>
        <v>0</v>
      </c>
      <c r="O152" s="31">
        <f t="shared" si="26"/>
        <v>-2.25</v>
      </c>
      <c r="P152" s="62"/>
      <c r="Q152" s="31">
        <f t="shared" si="19"/>
        <v>-9.4187204844152248</v>
      </c>
      <c r="R152" s="31">
        <f>SUM($Q$36:Q152)</f>
        <v>-1687.971576192162</v>
      </c>
      <c r="S152" s="83">
        <f>IF($L$2&lt;&gt;1,-(R152-$R$36)/B152*12/$Q$36,0)</f>
        <v>-0.18982977126802533</v>
      </c>
      <c r="T152" s="31">
        <f>SUMPRODUCT($Q$36:Q152,$E$36:E152)/E152-R152</f>
        <v>-640.78099367465165</v>
      </c>
      <c r="U152" s="31">
        <f t="shared" si="20"/>
        <v>1082.6328274493972</v>
      </c>
      <c r="V152" s="31">
        <f t="shared" si="21"/>
        <v>1678.0328274493972</v>
      </c>
      <c r="W152" s="80" cm="1">
        <f t="array" ref="W152">IF($L$2&lt;&gt;1,IRR(IF(ROW($Q$36:Q152)=ROW(Q152),Q152+L152-K152,$Q$36:Q152),W151/12)*12,0)</f>
        <v>7.2336207706930722E-2</v>
      </c>
      <c r="X152" s="83">
        <f>(1+W152/12)^(B152)-1</f>
        <v>1.0080234774106258</v>
      </c>
    </row>
    <row r="153" spans="2:24" x14ac:dyDescent="0.25">
      <c r="B153" s="33">
        <v>117</v>
      </c>
      <c r="C153" s="81">
        <f t="shared" si="17"/>
        <v>9.75</v>
      </c>
      <c r="D153" s="105">
        <f t="shared" si="18"/>
        <v>3.9789301544717048E-3</v>
      </c>
      <c r="E153" s="106">
        <f t="shared" si="22"/>
        <v>0.62837942674306879</v>
      </c>
      <c r="F153" s="60">
        <f>rate</f>
        <v>3.2737397821989145E-3</v>
      </c>
      <c r="G153" s="31">
        <f>IF(AND(B152&gt;=gracia,12*años+gracia-B152&gt;0,$L$2&lt;&gt;1),PMT(F152,12*años-B152+gracia,-K152),0)</f>
        <v>19.168720484415228</v>
      </c>
      <c r="H153" s="31">
        <f>IF(AND(12*años+gracia-B152&gt;0,$L$2&lt;&gt;1),K152*F153,0)</f>
        <v>10.533994525714025</v>
      </c>
      <c r="I153" s="31">
        <f>IF(AND(12*años+gracia-B152&gt;0,$L$2&lt;&gt;1),G153-H153,0)</f>
        <v>8.6347259587012033</v>
      </c>
      <c r="J153" s="62"/>
      <c r="K153" s="61">
        <f t="shared" si="23"/>
        <v>3209.0903305632082</v>
      </c>
      <c r="L153" s="61">
        <f>L152*(1+$J$17)^(1/12)</f>
        <v>6003.0982960976644</v>
      </c>
      <c r="M153" s="31">
        <f t="shared" si="24"/>
        <v>12</v>
      </c>
      <c r="N153" s="31">
        <f t="shared" si="25"/>
        <v>0</v>
      </c>
      <c r="O153" s="31">
        <f t="shared" si="26"/>
        <v>-2.25</v>
      </c>
      <c r="P153" s="62"/>
      <c r="Q153" s="31">
        <f t="shared" si="19"/>
        <v>-9.4187204844152284</v>
      </c>
      <c r="R153" s="31">
        <f>SUM($Q$36:Q153)</f>
        <v>-1697.3902966765772</v>
      </c>
      <c r="S153" s="83">
        <f>IF($L$2&lt;&gt;1,-(R153-$R$36)/B153*12/$Q$36,0)</f>
        <v>-0.18982977126802533</v>
      </c>
      <c r="T153" s="31">
        <f>SUMPRODUCT($Q$36:Q153,$E$36:E153)/E153-R153</f>
        <v>-650.04693749719854</v>
      </c>
      <c r="U153" s="31">
        <f t="shared" si="20"/>
        <v>1096.6176688578789</v>
      </c>
      <c r="V153" s="31">
        <f t="shared" si="21"/>
        <v>1692.017668857879</v>
      </c>
      <c r="W153" s="80" cm="1">
        <f t="array" ref="W153">IF($L$2&lt;&gt;1,IRR(IF(ROW($Q$36:Q153)=ROW(Q153),Q153+L153-K153,$Q$36:Q153),W152/12)*12,0)</f>
        <v>7.2201739473787718E-2</v>
      </c>
      <c r="X153" s="83">
        <f>(1+W153/12)^(B153)-1</f>
        <v>1.017496927899519</v>
      </c>
    </row>
    <row r="154" spans="2:24" x14ac:dyDescent="0.25">
      <c r="B154" s="33">
        <v>118</v>
      </c>
      <c r="C154" s="81">
        <f t="shared" si="17"/>
        <v>9.8333333333333339</v>
      </c>
      <c r="D154" s="105">
        <f t="shared" si="18"/>
        <v>3.9789301544717048E-3</v>
      </c>
      <c r="E154" s="106">
        <f t="shared" si="22"/>
        <v>0.62588905789724758</v>
      </c>
      <c r="F154" s="60">
        <f>rate</f>
        <v>3.2737397821989145E-3</v>
      </c>
      <c r="G154" s="31">
        <f>IF(AND(B153&gt;=gracia,12*años+gracia-B153&gt;0,$L$2&lt;&gt;1),PMT(F153,12*años-B153+gracia,-K153),0)</f>
        <v>19.168720484415225</v>
      </c>
      <c r="H154" s="31">
        <f>IF(AND(12*años+gracia-B153&gt;0,$L$2&lt;&gt;1),K153*F154,0)</f>
        <v>10.505726679834639</v>
      </c>
      <c r="I154" s="31">
        <f>IF(AND(12*años+gracia-B153&gt;0,$L$2&lt;&gt;1),G154-H154,0)</f>
        <v>8.6629938045805854</v>
      </c>
      <c r="J154" s="62"/>
      <c r="K154" s="61">
        <f t="shared" si="23"/>
        <v>3200.4273367586275</v>
      </c>
      <c r="L154" s="61">
        <f>L153*(1+$J$17)^(1/12)</f>
        <v>6017.9035559654976</v>
      </c>
      <c r="M154" s="31">
        <f t="shared" si="24"/>
        <v>12</v>
      </c>
      <c r="N154" s="31">
        <f t="shared" si="25"/>
        <v>0</v>
      </c>
      <c r="O154" s="31">
        <f t="shared" si="26"/>
        <v>-2.25</v>
      </c>
      <c r="P154" s="62"/>
      <c r="Q154" s="31">
        <f t="shared" si="19"/>
        <v>-9.4187204844152248</v>
      </c>
      <c r="R154" s="31">
        <f>SUM($Q$36:Q154)</f>
        <v>-1706.8090171609924</v>
      </c>
      <c r="S154" s="83">
        <f>IF($L$2&lt;&gt;1,-(R154-$R$36)/B154*12/$Q$36,0)</f>
        <v>-0.18982977126802533</v>
      </c>
      <c r="T154" s="31">
        <f>SUMPRODUCT($Q$36:Q154,$E$36:E154)/E154-R154</f>
        <v>-659.38722629398217</v>
      </c>
      <c r="U154" s="31">
        <f t="shared" si="20"/>
        <v>1110.6672020458782</v>
      </c>
      <c r="V154" s="31">
        <f t="shared" si="21"/>
        <v>1706.0672020458783</v>
      </c>
      <c r="W154" s="80" cm="1">
        <f t="array" ref="W154">IF($L$2&lt;&gt;1,IRR(IF(ROW($Q$36:Q154)=ROW(Q154),Q154+L154-K154,$Q$36:Q154),W153/12)*12,0)</f>
        <v>7.2067245326765672E-2</v>
      </c>
      <c r="X154" s="83">
        <f>(1+W154/12)^(B154)-1</f>
        <v>1.0269693733799232</v>
      </c>
    </row>
    <row r="155" spans="2:24" x14ac:dyDescent="0.25">
      <c r="B155" s="33">
        <v>119</v>
      </c>
      <c r="C155" s="81">
        <f t="shared" si="17"/>
        <v>9.9166666666666661</v>
      </c>
      <c r="D155" s="105">
        <f t="shared" si="18"/>
        <v>3.9789301544717048E-3</v>
      </c>
      <c r="E155" s="106">
        <f t="shared" si="22"/>
        <v>0.62340855878414558</v>
      </c>
      <c r="F155" s="60">
        <f>rate</f>
        <v>3.2737397821989145E-3</v>
      </c>
      <c r="G155" s="31">
        <f>IF(AND(B154&gt;=gracia,12*años+gracia-B154&gt;0,$L$2&lt;&gt;1),PMT(F154,12*años-B154+gracia,-K154),0)</f>
        <v>19.168720484415225</v>
      </c>
      <c r="H155" s="31">
        <f>IF(AND(12*años+gracia-B154&gt;0,$L$2&lt;&gt;1),K154*F155,0)</f>
        <v>10.477366292383641</v>
      </c>
      <c r="I155" s="31">
        <f>IF(AND(12*años+gracia-B154&gt;0,$L$2&lt;&gt;1),G155-H155,0)</f>
        <v>8.691354192031584</v>
      </c>
      <c r="J155" s="62"/>
      <c r="K155" s="61">
        <f t="shared" si="23"/>
        <v>3191.7359825665958</v>
      </c>
      <c r="L155" s="61">
        <f>L154*(1+$J$17)^(1/12)</f>
        <v>6032.7453295982141</v>
      </c>
      <c r="M155" s="31">
        <f t="shared" si="24"/>
        <v>12</v>
      </c>
      <c r="N155" s="31">
        <f t="shared" si="25"/>
        <v>0</v>
      </c>
      <c r="O155" s="31">
        <f t="shared" si="26"/>
        <v>-2.25</v>
      </c>
      <c r="P155" s="62"/>
      <c r="Q155" s="31">
        <f t="shared" si="19"/>
        <v>-9.4187204844152248</v>
      </c>
      <c r="R155" s="31">
        <f>SUM($Q$36:Q155)</f>
        <v>-1716.2277376454076</v>
      </c>
      <c r="S155" s="83">
        <f>IF($L$2&lt;&gt;1,-(R155-$R$36)/B155*12/$Q$36,0)</f>
        <v>-0.18982977126802533</v>
      </c>
      <c r="T155" s="31">
        <f>SUMPRODUCT($Q$36:Q155,$E$36:E155)/E155-R155</f>
        <v>-668.80215587846305</v>
      </c>
      <c r="U155" s="31">
        <f t="shared" si="20"/>
        <v>1124.7816093862111</v>
      </c>
      <c r="V155" s="31">
        <f t="shared" si="21"/>
        <v>1720.1816093862112</v>
      </c>
      <c r="W155" s="80" cm="1">
        <f t="array" ref="W155">IF($L$2&lt;&gt;1,IRR(IF(ROW($Q$36:Q155)=ROW(Q155),Q155+L155-K155,$Q$36:Q155),W154/12)*12,0)</f>
        <v>7.1932761937151923E-2</v>
      </c>
      <c r="X155" s="83">
        <f>(1+W155/12)^(B155)-1</f>
        <v>1.0364411032826846</v>
      </c>
    </row>
    <row r="156" spans="2:24" x14ac:dyDescent="0.25">
      <c r="B156" s="33">
        <v>120</v>
      </c>
      <c r="C156" s="81">
        <f t="shared" si="17"/>
        <v>10</v>
      </c>
      <c r="D156" s="105">
        <f t="shared" si="18"/>
        <v>3.9789301544717048E-3</v>
      </c>
      <c r="E156" s="106">
        <f t="shared" si="22"/>
        <v>0.62093789028842294</v>
      </c>
      <c r="F156" s="60">
        <f>rate</f>
        <v>3.2737397821989145E-3</v>
      </c>
      <c r="G156" s="31">
        <f>IF(AND(B155&gt;=gracia,12*años+gracia-B155&gt;0,$L$2&lt;&gt;1),PMT(F155,12*años-B155+gracia,-K155),0)</f>
        <v>19.168720484415225</v>
      </c>
      <c r="H156" s="31">
        <f>IF(AND(12*años+gracia-B155&gt;0,$L$2&lt;&gt;1),K155*F156,0)</f>
        <v>10.448913060404006</v>
      </c>
      <c r="I156" s="31">
        <f>IF(AND(12*años+gracia-B155&gt;0,$L$2&lt;&gt;1),G156-H156,0)</f>
        <v>8.7198074240112184</v>
      </c>
      <c r="J156" s="62"/>
      <c r="K156" s="61">
        <f t="shared" si="23"/>
        <v>3183.0161751425844</v>
      </c>
      <c r="L156" s="61">
        <f>L155*(1+$J$17)^(1/12)</f>
        <v>6047.6237070486086</v>
      </c>
      <c r="M156" s="31">
        <f t="shared" si="24"/>
        <v>12</v>
      </c>
      <c r="N156" s="31">
        <f t="shared" si="25"/>
        <v>0</v>
      </c>
      <c r="O156" s="31">
        <f t="shared" si="26"/>
        <v>-2.25</v>
      </c>
      <c r="P156" s="62"/>
      <c r="Q156" s="31">
        <f t="shared" si="19"/>
        <v>-9.4187204844152248</v>
      </c>
      <c r="R156" s="31">
        <f>SUM($Q$36:Q156)</f>
        <v>-1725.6464581298228</v>
      </c>
      <c r="S156" s="83">
        <f>IF($L$2&lt;&gt;1,-(R156-$R$36)/B156*12/$Q$36,0)</f>
        <v>-0.18982977126802533</v>
      </c>
      <c r="T156" s="31">
        <f>SUMPRODUCT($Q$36:Q156,$E$36:E156)/E156-R156</f>
        <v>-678.29202324112202</v>
      </c>
      <c r="U156" s="31">
        <f t="shared" si="20"/>
        <v>1138.9610737762014</v>
      </c>
      <c r="V156" s="31">
        <f t="shared" si="21"/>
        <v>1734.3610737762015</v>
      </c>
      <c r="W156" s="80" cm="1">
        <f t="array" ref="W156">IF($L$2&lt;&gt;1,IRR(IF(ROW($Q$36:Q156)=ROW(Q156),Q156+L156-K156,$Q$36:Q156),W155/12)*12,0)</f>
        <v>7.1798323995783342E-2</v>
      </c>
      <c r="X156" s="83">
        <f>(1+W156/12)^(B156)-1</f>
        <v>1.0459124031590128</v>
      </c>
    </row>
    <row r="157" spans="2:24" x14ac:dyDescent="0.25">
      <c r="B157" s="33">
        <v>121</v>
      </c>
      <c r="C157" s="81">
        <f t="shared" si="17"/>
        <v>10.083333333333334</v>
      </c>
      <c r="D157" s="105">
        <f t="shared" si="18"/>
        <v>3.9789301544717048E-3</v>
      </c>
      <c r="E157" s="106">
        <f t="shared" si="22"/>
        <v>0.61847701344976014</v>
      </c>
      <c r="F157" s="60">
        <f>rate</f>
        <v>3.2737397821989145E-3</v>
      </c>
      <c r="G157" s="31">
        <f>IF(AND(B156&gt;=gracia,12*años+gracia-B156&gt;0,$L$2&lt;&gt;1),PMT(F156,12*años-B156+gracia,-K156),0)</f>
        <v>19.168720484415225</v>
      </c>
      <c r="H157" s="31">
        <f>IF(AND(12*años+gracia-B156&gt;0,$L$2&lt;&gt;1),K156*F157,0)</f>
        <v>10.420366679946905</v>
      </c>
      <c r="I157" s="31">
        <f>IF(AND(12*años+gracia-B156&gt;0,$L$2&lt;&gt;1),G157-H157,0)</f>
        <v>8.7483538044683193</v>
      </c>
      <c r="J157" s="62"/>
      <c r="K157" s="61">
        <f t="shared" si="23"/>
        <v>3174.2678213381159</v>
      </c>
      <c r="L157" s="61">
        <f>L156*(1+$J$17)^(1/12)</f>
        <v>6062.53877859157</v>
      </c>
      <c r="M157" s="31">
        <f t="shared" si="24"/>
        <v>12</v>
      </c>
      <c r="N157" s="31">
        <f t="shared" si="25"/>
        <v>0</v>
      </c>
      <c r="O157" s="31">
        <f t="shared" si="26"/>
        <v>-2.25</v>
      </c>
      <c r="P157" s="62"/>
      <c r="Q157" s="31">
        <f t="shared" si="19"/>
        <v>-9.4187204844152248</v>
      </c>
      <c r="R157" s="31">
        <f>SUM($Q$36:Q157)</f>
        <v>-1735.065178614238</v>
      </c>
      <c r="S157" s="83">
        <f>IF($L$2&lt;&gt;1,-(R157-$R$36)/B157*12/$Q$36,0)</f>
        <v>-0.18982977126802533</v>
      </c>
      <c r="T157" s="31">
        <f>SUMPRODUCT($Q$36:Q157,$E$36:E157)/E157-R157</f>
        <v>-687.85712655414363</v>
      </c>
      <c r="U157" s="31">
        <f t="shared" si="20"/>
        <v>1153.2057786392161</v>
      </c>
      <c r="V157" s="31">
        <f t="shared" si="21"/>
        <v>1748.6057786392162</v>
      </c>
      <c r="W157" s="80" cm="1">
        <f t="array" ref="W157">IF($L$2&lt;&gt;1,IRR(IF(ROW($Q$36:Q157)=ROW(Q157),Q157+L157-K157,$Q$36:Q157),W156/12)*12,0)</f>
        <v>7.1663964315249906E-2</v>
      </c>
      <c r="X157" s="83">
        <f>(1+W157/12)^(B157)-1</f>
        <v>1.0553835547691737</v>
      </c>
    </row>
    <row r="158" spans="2:24" x14ac:dyDescent="0.25">
      <c r="B158" s="33">
        <v>122</v>
      </c>
      <c r="C158" s="81">
        <f t="shared" si="17"/>
        <v>10.166666666666666</v>
      </c>
      <c r="D158" s="105">
        <f t="shared" si="18"/>
        <v>3.9789301544717048E-3</v>
      </c>
      <c r="E158" s="106">
        <f t="shared" si="22"/>
        <v>0.61602588946224357</v>
      </c>
      <c r="F158" s="60">
        <f>rate</f>
        <v>3.2737397821989145E-3</v>
      </c>
      <c r="G158" s="31">
        <f>IF(AND(B157&gt;=gracia,12*años+gracia-B157&gt;0,$L$2&lt;&gt;1),PMT(F157,12*años-B157+gracia,-K157),0)</f>
        <v>19.168720484415225</v>
      </c>
      <c r="H158" s="31">
        <f>IF(AND(12*años+gracia-B157&gt;0,$L$2&lt;&gt;1),K157*F158,0)</f>
        <v>10.391726846068467</v>
      </c>
      <c r="I158" s="31">
        <f>IF(AND(12*años+gracia-B157&gt;0,$L$2&lt;&gt;1),G158-H158,0)</f>
        <v>8.7769936383467577</v>
      </c>
      <c r="J158" s="62"/>
      <c r="K158" s="61">
        <f t="shared" si="23"/>
        <v>3165.4908276997694</v>
      </c>
      <c r="L158" s="61">
        <f>L157*(1+$J$17)^(1/12)</f>
        <v>6077.4906347246297</v>
      </c>
      <c r="M158" s="31">
        <f t="shared" si="24"/>
        <v>12</v>
      </c>
      <c r="N158" s="31">
        <f t="shared" si="25"/>
        <v>0</v>
      </c>
      <c r="O158" s="31">
        <f t="shared" si="26"/>
        <v>-2.25</v>
      </c>
      <c r="P158" s="62"/>
      <c r="Q158" s="31">
        <f t="shared" si="19"/>
        <v>-9.4187204844152248</v>
      </c>
      <c r="R158" s="31">
        <f>SUM($Q$36:Q158)</f>
        <v>-1744.4838990986532</v>
      </c>
      <c r="S158" s="83">
        <f>IF($L$2&lt;&gt;1,-(R158-$R$36)/B158*12/$Q$36,0)</f>
        <v>-0.18982977126802533</v>
      </c>
      <c r="T158" s="31">
        <f>SUMPRODUCT($Q$36:Q158,$E$36:E158)/E158-R158</f>
        <v>-697.49776517612008</v>
      </c>
      <c r="U158" s="31">
        <f t="shared" si="20"/>
        <v>1167.5159079262075</v>
      </c>
      <c r="V158" s="31">
        <f t="shared" si="21"/>
        <v>1762.9159079262076</v>
      </c>
      <c r="W158" s="80" cm="1">
        <f t="array" ref="W158">IF($L$2&lt;&gt;1,IRR(IF(ROW($Q$36:Q158)=ROW(Q158),Q158+L158-K158,$Q$36:Q158),W157/12)*12,0)</f>
        <v>7.1529713926388183E-2</v>
      </c>
      <c r="X158" s="83">
        <f>(1+W158/12)^(B158)-1</f>
        <v>1.0648548361683057</v>
      </c>
    </row>
    <row r="159" spans="2:24" x14ac:dyDescent="0.25">
      <c r="B159" s="33">
        <v>123</v>
      </c>
      <c r="C159" s="81">
        <f t="shared" si="17"/>
        <v>10.25</v>
      </c>
      <c r="D159" s="105">
        <f t="shared" si="18"/>
        <v>3.9789301544717048E-3</v>
      </c>
      <c r="E159" s="106">
        <f t="shared" si="22"/>
        <v>0.61358447967375385</v>
      </c>
      <c r="F159" s="60">
        <f>rate</f>
        <v>3.2737397821989145E-3</v>
      </c>
      <c r="G159" s="31">
        <f>IF(AND(B158&gt;=gracia,12*años+gracia-B158&gt;0,$L$2&lt;&gt;1),PMT(F158,12*años-B158+gracia,-K158),0)</f>
        <v>19.168720484415228</v>
      </c>
      <c r="H159" s="31">
        <f>IF(AND(12*años+gracia-B158&gt;0,$L$2&lt;&gt;1),K158*F159,0)</f>
        <v>10.362993252826504</v>
      </c>
      <c r="I159" s="31">
        <f>IF(AND(12*años+gracia-B158&gt;0,$L$2&lt;&gt;1),G159-H159,0)</f>
        <v>8.8057272315887243</v>
      </c>
      <c r="J159" s="62"/>
      <c r="K159" s="61">
        <f t="shared" si="23"/>
        <v>3156.6851004681807</v>
      </c>
      <c r="L159" s="61">
        <f>L158*(1+$J$17)^(1/12)</f>
        <v>6092.4793661685098</v>
      </c>
      <c r="M159" s="31">
        <f t="shared" si="24"/>
        <v>12</v>
      </c>
      <c r="N159" s="31">
        <f t="shared" si="25"/>
        <v>0</v>
      </c>
      <c r="O159" s="31">
        <f t="shared" si="26"/>
        <v>-2.25</v>
      </c>
      <c r="P159" s="62"/>
      <c r="Q159" s="31">
        <f t="shared" si="19"/>
        <v>-9.4187204844152284</v>
      </c>
      <c r="R159" s="31">
        <f>SUM($Q$36:Q159)</f>
        <v>-1753.9026195830684</v>
      </c>
      <c r="S159" s="83">
        <f>IF($L$2&lt;&gt;1,-(R159-$R$36)/B159*12/$Q$36,0)</f>
        <v>-0.18982977126802533</v>
      </c>
      <c r="T159" s="31">
        <f>SUMPRODUCT($Q$36:Q159,$E$36:E159)/E159-R159</f>
        <v>-707.21423965677013</v>
      </c>
      <c r="U159" s="31">
        <f t="shared" si="20"/>
        <v>1181.8916461172603</v>
      </c>
      <c r="V159" s="31">
        <f t="shared" si="21"/>
        <v>1777.2916461172604</v>
      </c>
      <c r="W159" s="80" cm="1">
        <f t="array" ref="W159">IF($L$2&lt;&gt;1,IRR(IF(ROW($Q$36:Q159)=ROW(Q159),Q159+L159-K159,$Q$36:Q159),W158/12)*12,0)</f>
        <v>7.139560216945906E-2</v>
      </c>
      <c r="X159" s="83">
        <f>(1+W159/12)^(B159)-1</f>
        <v>1.0743265217905691</v>
      </c>
    </row>
    <row r="160" spans="2:24" x14ac:dyDescent="0.25">
      <c r="B160" s="33">
        <v>124</v>
      </c>
      <c r="C160" s="81">
        <f t="shared" si="17"/>
        <v>10.333333333333334</v>
      </c>
      <c r="D160" s="105">
        <f t="shared" si="18"/>
        <v>3.9789301544717048E-3</v>
      </c>
      <c r="E160" s="106">
        <f t="shared" si="22"/>
        <v>0.61115274558535615</v>
      </c>
      <c r="F160" s="60">
        <f>rate</f>
        <v>3.2737397821989145E-3</v>
      </c>
      <c r="G160" s="31">
        <f>IF(AND(B159&gt;=gracia,12*años+gracia-B159&gt;0,$L$2&lt;&gt;1),PMT(F159,12*años-B159+gracia,-K159),0)</f>
        <v>19.168720484415228</v>
      </c>
      <c r="H160" s="31">
        <f>IF(AND(12*años+gracia-B159&gt;0,$L$2&lt;&gt;1),K159*F160,0)</f>
        <v>10.334165593277261</v>
      </c>
      <c r="I160" s="31">
        <f>IF(AND(12*años+gracia-B159&gt;0,$L$2&lt;&gt;1),G160-H160,0)</f>
        <v>8.8345548911379677</v>
      </c>
      <c r="J160" s="62"/>
      <c r="K160" s="61">
        <f t="shared" si="23"/>
        <v>3147.8505455770428</v>
      </c>
      <c r="L160" s="61">
        <f>L159*(1+$J$17)^(1/12)</f>
        <v>6107.5050638676748</v>
      </c>
      <c r="M160" s="31">
        <f t="shared" si="24"/>
        <v>12</v>
      </c>
      <c r="N160" s="31">
        <f t="shared" si="25"/>
        <v>0</v>
      </c>
      <c r="O160" s="31">
        <f t="shared" si="26"/>
        <v>-2.25</v>
      </c>
      <c r="P160" s="62"/>
      <c r="Q160" s="31">
        <f t="shared" si="19"/>
        <v>-9.4187204844152284</v>
      </c>
      <c r="R160" s="31">
        <f>SUM($Q$36:Q160)</f>
        <v>-1763.3213400674836</v>
      </c>
      <c r="S160" s="83">
        <f>IF($L$2&lt;&gt;1,-(R160-$R$36)/B160*12/$Q$36,0)</f>
        <v>-0.18982977126802533</v>
      </c>
      <c r="T160" s="31">
        <f>SUMPRODUCT($Q$36:Q160,$E$36:E160)/E160-R160</f>
        <v>-717.00685174167802</v>
      </c>
      <c r="U160" s="31">
        <f t="shared" si="20"/>
        <v>1196.3331782231489</v>
      </c>
      <c r="V160" s="31">
        <f t="shared" si="21"/>
        <v>1791.733178223149</v>
      </c>
      <c r="W160" s="80" cm="1">
        <f t="array" ref="W160">IF($L$2&lt;&gt;1,IRR(IF(ROW($Q$36:Q160)=ROW(Q160),Q160+L160-K160,$Q$36:Q160),W159/12)*12,0)</f>
        <v>7.1261656780302829E-2</v>
      </c>
      <c r="X160" s="83">
        <f>(1+W160/12)^(B160)-1</f>
        <v>1.083798882530941</v>
      </c>
    </row>
    <row r="161" spans="2:24" x14ac:dyDescent="0.25">
      <c r="B161" s="33">
        <v>125</v>
      </c>
      <c r="C161" s="81">
        <f t="shared" si="17"/>
        <v>10.416666666666666</v>
      </c>
      <c r="D161" s="105">
        <f t="shared" si="18"/>
        <v>3.9789301544717048E-3</v>
      </c>
      <c r="E161" s="106">
        <f t="shared" si="22"/>
        <v>0.60873064885069295</v>
      </c>
      <c r="F161" s="60">
        <f>rate</f>
        <v>3.2737397821989145E-3</v>
      </c>
      <c r="G161" s="31">
        <f>IF(AND(B160&gt;=gracia,12*años+gracia-B160&gt;0,$L$2&lt;&gt;1),PMT(F160,12*años-B160+gracia,-K160),0)</f>
        <v>19.168720484415225</v>
      </c>
      <c r="H161" s="31">
        <f>IF(AND(12*años+gracia-B160&gt;0,$L$2&lt;&gt;1),K160*F161,0)</f>
        <v>10.305243559472123</v>
      </c>
      <c r="I161" s="31">
        <f>IF(AND(12*años+gracia-B160&gt;0,$L$2&lt;&gt;1),G161-H161,0)</f>
        <v>8.863476924943102</v>
      </c>
      <c r="J161" s="62"/>
      <c r="K161" s="61">
        <f t="shared" si="23"/>
        <v>3138.9870686520999</v>
      </c>
      <c r="L161" s="61">
        <f>L160*(1+$J$17)^(1/12)</f>
        <v>6122.5678189908831</v>
      </c>
      <c r="M161" s="31">
        <f t="shared" si="24"/>
        <v>12</v>
      </c>
      <c r="N161" s="31">
        <f t="shared" si="25"/>
        <v>0</v>
      </c>
      <c r="O161" s="31">
        <f t="shared" si="26"/>
        <v>-2.25</v>
      </c>
      <c r="P161" s="62"/>
      <c r="Q161" s="31">
        <f t="shared" si="19"/>
        <v>-9.4187204844152248</v>
      </c>
      <c r="R161" s="31">
        <f>SUM($Q$36:Q161)</f>
        <v>-1772.7400605518988</v>
      </c>
      <c r="S161" s="83">
        <f>IF($L$2&lt;&gt;1,-(R161-$R$36)/B161*12/$Q$36,0)</f>
        <v>-0.18982977126802533</v>
      </c>
      <c r="T161" s="31">
        <f>SUMPRODUCT($Q$36:Q161,$E$36:E161)/E161-R161</f>
        <v>-726.87590437705376</v>
      </c>
      <c r="U161" s="31">
        <f t="shared" si="20"/>
        <v>1210.8406897868845</v>
      </c>
      <c r="V161" s="31">
        <f t="shared" si="21"/>
        <v>1806.2406897868846</v>
      </c>
      <c r="W161" s="80" cm="1">
        <f t="array" ref="W161">IF($L$2&lt;&gt;1,IRR(IF(ROW($Q$36:Q161)=ROW(Q161),Q161+L161-K161,$Q$36:Q161),W160/12)*12,0)</f>
        <v>7.1127903971740736E-2</v>
      </c>
      <c r="X161" s="83">
        <f>(1+W161/12)^(B161)-1</f>
        <v>1.0932721858238481</v>
      </c>
    </row>
    <row r="162" spans="2:24" x14ac:dyDescent="0.25">
      <c r="B162" s="33">
        <v>126</v>
      </c>
      <c r="C162" s="81">
        <f t="shared" si="17"/>
        <v>10.5</v>
      </c>
      <c r="D162" s="105">
        <f t="shared" si="18"/>
        <v>3.9789301544717048E-3</v>
      </c>
      <c r="E162" s="106">
        <f t="shared" si="22"/>
        <v>0.6063181512753798</v>
      </c>
      <c r="F162" s="60">
        <f>rate</f>
        <v>3.2737397821989145E-3</v>
      </c>
      <c r="G162" s="31">
        <f>IF(AND(B161&gt;=gracia,12*años+gracia-B161&gt;0,$L$2&lt;&gt;1),PMT(F161,12*años-B161+gracia,-K161),0)</f>
        <v>19.168720484415228</v>
      </c>
      <c r="H162" s="31">
        <f>IF(AND(12*años+gracia-B161&gt;0,$L$2&lt;&gt;1),K161*F162,0)</f>
        <v>10.276226842454335</v>
      </c>
      <c r="I162" s="31">
        <f>IF(AND(12*años+gracia-B161&gt;0,$L$2&lt;&gt;1),G162-H162,0)</f>
        <v>8.8924936419608933</v>
      </c>
      <c r="J162" s="62"/>
      <c r="K162" s="61">
        <f t="shared" si="23"/>
        <v>3130.0945750101391</v>
      </c>
      <c r="L162" s="61">
        <f>L161*(1+$J$17)^(1/12)</f>
        <v>6137.6677229317393</v>
      </c>
      <c r="M162" s="31">
        <f t="shared" si="24"/>
        <v>12</v>
      </c>
      <c r="N162" s="31">
        <f t="shared" si="25"/>
        <v>0</v>
      </c>
      <c r="O162" s="31">
        <f t="shared" si="26"/>
        <v>-2.25</v>
      </c>
      <c r="P162" s="62"/>
      <c r="Q162" s="31">
        <f t="shared" si="19"/>
        <v>-9.4187204844152284</v>
      </c>
      <c r="R162" s="31">
        <f>SUM($Q$36:Q162)</f>
        <v>-1782.1587810363139</v>
      </c>
      <c r="S162" s="83">
        <f>IF($L$2&lt;&gt;1,-(R162-$R$36)/B162*12/$Q$36,0)</f>
        <v>-0.18982977126802533</v>
      </c>
      <c r="T162" s="31">
        <f>SUMPRODUCT($Q$36:Q162,$E$36:E162)/E162-R162</f>
        <v>-736.82170171450844</v>
      </c>
      <c r="U162" s="31">
        <f t="shared" si="20"/>
        <v>1225.4143668852867</v>
      </c>
      <c r="V162" s="31">
        <f t="shared" si="21"/>
        <v>1820.8143668852867</v>
      </c>
      <c r="W162" s="80" cm="1">
        <f t="array" ref="W162">IF($L$2&lt;&gt;1,IRR(IF(ROW($Q$36:Q162)=ROW(Q162),Q162+L162-K162,$Q$36:Q162),W161/12)*12,0)</f>
        <v>7.0994368510622685E-2</v>
      </c>
      <c r="X162" s="83">
        <f>(1+W162/12)^(B162)-1</f>
        <v>1.102746695721446</v>
      </c>
    </row>
    <row r="163" spans="2:24" x14ac:dyDescent="0.25">
      <c r="B163" s="33">
        <v>127</v>
      </c>
      <c r="C163" s="81">
        <f t="shared" si="17"/>
        <v>10.583333333333334</v>
      </c>
      <c r="D163" s="105">
        <f t="shared" si="18"/>
        <v>3.9789301544717048E-3</v>
      </c>
      <c r="E163" s="106">
        <f t="shared" si="22"/>
        <v>0.60391521481640253</v>
      </c>
      <c r="F163" s="60">
        <f>rate</f>
        <v>3.2737397821989145E-3</v>
      </c>
      <c r="G163" s="31">
        <f>IF(AND(B162&gt;=gracia,12*años+gracia-B162&gt;0,$L$2&lt;&gt;1),PMT(F162,12*años-B162+gracia,-K162),0)</f>
        <v>19.168720484415225</v>
      </c>
      <c r="H163" s="31">
        <f>IF(AND(12*años+gracia-B162&gt;0,$L$2&lt;&gt;1),K162*F163,0)</f>
        <v>10.247115132255697</v>
      </c>
      <c r="I163" s="31">
        <f>IF(AND(12*años+gracia-B162&gt;0,$L$2&lt;&gt;1),G163-H163,0)</f>
        <v>8.9216053521595278</v>
      </c>
      <c r="J163" s="62"/>
      <c r="K163" s="61">
        <f t="shared" si="23"/>
        <v>3121.1729696579796</v>
      </c>
      <c r="L163" s="61">
        <f>L162*(1+$J$17)^(1/12)</f>
        <v>6152.8048673092499</v>
      </c>
      <c r="M163" s="31">
        <f t="shared" si="24"/>
        <v>12</v>
      </c>
      <c r="N163" s="31">
        <f t="shared" si="25"/>
        <v>0</v>
      </c>
      <c r="O163" s="31">
        <f t="shared" si="26"/>
        <v>-2.25</v>
      </c>
      <c r="P163" s="62"/>
      <c r="Q163" s="31">
        <f t="shared" si="19"/>
        <v>-9.4187204844152248</v>
      </c>
      <c r="R163" s="31">
        <f>SUM($Q$36:Q163)</f>
        <v>-1791.5775015207291</v>
      </c>
      <c r="S163" s="83">
        <f>IF($L$2&lt;&gt;1,-(R163-$R$36)/B163*12/$Q$36,0)</f>
        <v>-0.18982977126802533</v>
      </c>
      <c r="T163" s="31">
        <f>SUMPRODUCT($Q$36:Q163,$E$36:E163)/E163-R163</f>
        <v>-746.84454911585135</v>
      </c>
      <c r="U163" s="31">
        <f t="shared" si="20"/>
        <v>1240.0543961305411</v>
      </c>
      <c r="V163" s="31">
        <f t="shared" si="21"/>
        <v>1835.4543961305412</v>
      </c>
      <c r="W163" s="80" cm="1">
        <f t="array" ref="W163">IF($L$2&lt;&gt;1,IRR(IF(ROW($Q$36:Q163)=ROW(Q163),Q163+L163-K163,$Q$36:Q163),W162/12)*12,0)</f>
        <v>7.0861073790638329E-2</v>
      </c>
      <c r="X163" s="83">
        <f>(1+W163/12)^(B163)-1</f>
        <v>1.1122226729683571</v>
      </c>
    </row>
    <row r="164" spans="2:24" x14ac:dyDescent="0.25">
      <c r="B164" s="33">
        <v>128</v>
      </c>
      <c r="C164" s="81">
        <f t="shared" si="17"/>
        <v>10.666666666666666</v>
      </c>
      <c r="D164" s="105">
        <f t="shared" si="18"/>
        <v>3.9789301544717048E-3</v>
      </c>
      <c r="E164" s="106">
        <f t="shared" si="22"/>
        <v>0.60152180158151769</v>
      </c>
      <c r="F164" s="60">
        <f>rate</f>
        <v>3.2737397821989145E-3</v>
      </c>
      <c r="G164" s="31">
        <f>IF(AND(B163&gt;=gracia,12*años+gracia-B163&gt;0,$L$2&lt;&gt;1),PMT(F163,12*años-B163+gracia,-K163),0)</f>
        <v>19.168720484415225</v>
      </c>
      <c r="H164" s="31">
        <f>IF(AND(12*años+gracia-B163&gt;0,$L$2&lt;&gt;1),K163*F164,0)</f>
        <v>10.217908117893254</v>
      </c>
      <c r="I164" s="31">
        <f>IF(AND(12*años+gracia-B163&gt;0,$L$2&lt;&gt;1),G164-H164,0)</f>
        <v>8.950812366521971</v>
      </c>
      <c r="J164" s="62"/>
      <c r="K164" s="61">
        <f t="shared" si="23"/>
        <v>3112.2221572914577</v>
      </c>
      <c r="L164" s="61">
        <f>L163*(1+$J$17)^(1/12)</f>
        <v>6167.9793439683781</v>
      </c>
      <c r="M164" s="31">
        <f t="shared" si="24"/>
        <v>12</v>
      </c>
      <c r="N164" s="31">
        <f t="shared" si="25"/>
        <v>0</v>
      </c>
      <c r="O164" s="31">
        <f t="shared" si="26"/>
        <v>-2.25</v>
      </c>
      <c r="P164" s="62"/>
      <c r="Q164" s="31">
        <f t="shared" si="19"/>
        <v>-9.4187204844152248</v>
      </c>
      <c r="R164" s="31">
        <f>SUM($Q$36:Q164)</f>
        <v>-1800.9962220051443</v>
      </c>
      <c r="S164" s="83">
        <f>IF($L$2&lt;&gt;1,-(R164-$R$36)/B164*12/$Q$36,0)</f>
        <v>-0.18982977126802533</v>
      </c>
      <c r="T164" s="31">
        <f>SUMPRODUCT($Q$36:Q164,$E$36:E164)/E164-R164</f>
        <v>-756.94475315790487</v>
      </c>
      <c r="U164" s="31">
        <f t="shared" si="20"/>
        <v>1254.7609646717756</v>
      </c>
      <c r="V164" s="31">
        <f t="shared" si="21"/>
        <v>1850.1609646717757</v>
      </c>
      <c r="W164" s="80" cm="1">
        <f t="array" ref="W164">IF($L$2&lt;&gt;1,IRR(IF(ROW($Q$36:Q164)=ROW(Q164),Q164+L164-K164,$Q$36:Q164),W163/12)*12,0)</f>
        <v>7.0728041901248595E-2</v>
      </c>
      <c r="X164" s="83">
        <f>(1+W164/12)^(B164)-1</f>
        <v>1.1217003750750298</v>
      </c>
    </row>
    <row r="165" spans="2:24" x14ac:dyDescent="0.25">
      <c r="B165" s="33">
        <v>129</v>
      </c>
      <c r="C165" s="81">
        <f t="shared" ref="C165:C228" si="27">B165/12</f>
        <v>10.75</v>
      </c>
      <c r="D165" s="105">
        <f t="shared" ref="D165:D228" si="28">(1+$E$3/360)^30-1-((1+$E$4)^(1/12)-1)</f>
        <v>3.9789301544717048E-3</v>
      </c>
      <c r="E165" s="106">
        <f t="shared" si="22"/>
        <v>0.5991378738286548</v>
      </c>
      <c r="F165" s="60">
        <f>rate</f>
        <v>3.2737397821989145E-3</v>
      </c>
      <c r="G165" s="31">
        <f>IF(AND(B164&gt;=gracia,12*años+gracia-B164&gt;0,$L$2&lt;&gt;1),PMT(F164,12*años-B164+gracia,-K164),0)</f>
        <v>19.168720484415225</v>
      </c>
      <c r="H165" s="31">
        <f>IF(AND(12*años+gracia-B164&gt;0,$L$2&lt;&gt;1),K164*F165,0)</f>
        <v>10.188605487365972</v>
      </c>
      <c r="I165" s="31">
        <f>IF(AND(12*años+gracia-B164&gt;0,$L$2&lt;&gt;1),G165-H165,0)</f>
        <v>8.9801149970492524</v>
      </c>
      <c r="J165" s="62"/>
      <c r="K165" s="61">
        <f t="shared" si="23"/>
        <v>3103.2420422944083</v>
      </c>
      <c r="L165" s="61">
        <f>L164*(1+$J$17)^(1/12)</f>
        <v>6183.1912449806005</v>
      </c>
      <c r="M165" s="31">
        <f t="shared" si="24"/>
        <v>12</v>
      </c>
      <c r="N165" s="31">
        <f t="shared" si="25"/>
        <v>0</v>
      </c>
      <c r="O165" s="31">
        <f t="shared" si="26"/>
        <v>-2.25</v>
      </c>
      <c r="P165" s="62"/>
      <c r="Q165" s="31">
        <f t="shared" ref="Q165:Q228" si="29">P165+O165+N165+M165-J165-G165</f>
        <v>-9.4187204844152248</v>
      </c>
      <c r="R165" s="31">
        <f>SUM($Q$36:Q165)</f>
        <v>-1810.4149424895595</v>
      </c>
      <c r="S165" s="83">
        <f>IF($L$2&lt;&gt;1,-(R165-$R$36)/B165*12/$Q$36,0)</f>
        <v>-0.18982977126802533</v>
      </c>
      <c r="T165" s="31">
        <f>SUMPRODUCT($Q$36:Q165,$E$36:E165)/E165-R165</f>
        <v>-767.12262163734022</v>
      </c>
      <c r="U165" s="31">
        <f t="shared" ref="U165:U228" si="30">R165-K165+L165</f>
        <v>1269.5342601966331</v>
      </c>
      <c r="V165" s="31">
        <f t="shared" ref="V165:V228" si="31">IF($L$2&lt;&gt;1,U165+$E$30,U165)</f>
        <v>1864.9342601966332</v>
      </c>
      <c r="W165" s="80" cm="1">
        <f t="array" ref="W165">IF($L$2&lt;&gt;1,IRR(IF(ROW($Q$36:Q165)=ROW(Q165),Q165+L165-K165,$Q$36:Q165),W164/12)*12,0)</f>
        <v>7.0595293692918837E-2</v>
      </c>
      <c r="X165" s="83">
        <f>(1+W165/12)^(B165)-1</f>
        <v>1.1311800563891965</v>
      </c>
    </row>
    <row r="166" spans="2:24" x14ac:dyDescent="0.25">
      <c r="B166" s="33">
        <v>130</v>
      </c>
      <c r="C166" s="81">
        <f t="shared" si="27"/>
        <v>10.833333333333334</v>
      </c>
      <c r="D166" s="105">
        <f t="shared" si="28"/>
        <v>3.9789301544717048E-3</v>
      </c>
      <c r="E166" s="106">
        <f t="shared" ref="E166:E229" si="32">E165/(1+D166)</f>
        <v>0.5967633939653213</v>
      </c>
      <c r="F166" s="60">
        <f>rate</f>
        <v>3.2737397821989145E-3</v>
      </c>
      <c r="G166" s="31">
        <f>IF(AND(B165&gt;=gracia,12*años+gracia-B165&gt;0,$L$2&lt;&gt;1),PMT(F165,12*años-B165+gracia,-K165),0)</f>
        <v>19.168720484415232</v>
      </c>
      <c r="H166" s="31">
        <f>IF(AND(12*años+gracia-B165&gt;0,$L$2&lt;&gt;1),K165*F166,0)</f>
        <v>10.159206927651411</v>
      </c>
      <c r="I166" s="31">
        <f>IF(AND(12*años+gracia-B165&gt;0,$L$2&lt;&gt;1),G166-H166,0)</f>
        <v>9.0095135567638209</v>
      </c>
      <c r="J166" s="62"/>
      <c r="K166" s="61">
        <f t="shared" ref="K166:K229" si="33">K165-I166-J166</f>
        <v>3094.2325287376443</v>
      </c>
      <c r="L166" s="61">
        <f>L165*(1+$J$17)^(1/12)</f>
        <v>6198.4406626444688</v>
      </c>
      <c r="M166" s="31">
        <f t="shared" ref="M166:M229" si="34">IF($L$2=3,$J$7*$J$16,0)</f>
        <v>12</v>
      </c>
      <c r="N166" s="31">
        <f t="shared" ref="N166:N229" si="35">-$J$28</f>
        <v>0</v>
      </c>
      <c r="O166" s="31">
        <f t="shared" ref="O166:O229" si="36">IF($L$2&lt;&gt;1,-$E$17-$E$18,0)</f>
        <v>-2.25</v>
      </c>
      <c r="P166" s="62"/>
      <c r="Q166" s="31">
        <f t="shared" si="29"/>
        <v>-9.4187204844152319</v>
      </c>
      <c r="R166" s="31">
        <f>SUM($Q$36:Q166)</f>
        <v>-1819.8336629739747</v>
      </c>
      <c r="S166" s="83">
        <f>IF($L$2&lt;&gt;1,-(R166-$R$36)/B166*12/$Q$36,0)</f>
        <v>-0.18982977126802533</v>
      </c>
      <c r="T166" s="31">
        <f>SUMPRODUCT($Q$36:Q166,$E$36:E166)/E166-R166</f>
        <v>-777.37846357552871</v>
      </c>
      <c r="U166" s="31">
        <f t="shared" si="30"/>
        <v>1284.3744709328494</v>
      </c>
      <c r="V166" s="31">
        <f t="shared" si="31"/>
        <v>1879.7744709328495</v>
      </c>
      <c r="W166" s="80" cm="1">
        <f t="array" ref="W166">IF($L$2&lt;&gt;1,IRR(IF(ROW($Q$36:Q166)=ROW(Q166),Q166+L166-K166,$Q$36:Q166),W165/12)*12,0)</f>
        <v>7.0462848838901415E-2</v>
      </c>
      <c r="X166" s="83">
        <f>(1+W166/12)^(B166)-1</f>
        <v>1.1406619681656345</v>
      </c>
    </row>
    <row r="167" spans="2:24" x14ac:dyDescent="0.25">
      <c r="B167" s="33">
        <v>131</v>
      </c>
      <c r="C167" s="81">
        <f t="shared" si="27"/>
        <v>10.916666666666666</v>
      </c>
      <c r="D167" s="105">
        <f t="shared" si="28"/>
        <v>3.9789301544717048E-3</v>
      </c>
      <c r="E167" s="106">
        <f t="shared" si="32"/>
        <v>0.59439832454800978</v>
      </c>
      <c r="F167" s="60">
        <f>rate</f>
        <v>3.2737397821989145E-3</v>
      </c>
      <c r="G167" s="31">
        <f>IF(AND(B166&gt;=gracia,12*años+gracia-B166&gt;0,$L$2&lt;&gt;1),PMT(F166,12*años-B166+gracia,-K166),0)</f>
        <v>19.168720484415228</v>
      </c>
      <c r="H167" s="31">
        <f>IF(AND(12*años+gracia-B166&gt;0,$L$2&lt;&gt;1),K166*F167,0)</f>
        <v>10.129712124702372</v>
      </c>
      <c r="I167" s="31">
        <f>IF(AND(12*años+gracia-B166&gt;0,$L$2&lt;&gt;1),G167-H167,0)</f>
        <v>9.0390083597128559</v>
      </c>
      <c r="J167" s="62"/>
      <c r="K167" s="61">
        <f t="shared" si="33"/>
        <v>3085.1935203779312</v>
      </c>
      <c r="L167" s="61">
        <f>L166*(1+$J$17)^(1/12)</f>
        <v>6213.727689486167</v>
      </c>
      <c r="M167" s="31">
        <f t="shared" si="34"/>
        <v>12</v>
      </c>
      <c r="N167" s="31">
        <f t="shared" si="35"/>
        <v>0</v>
      </c>
      <c r="O167" s="31">
        <f t="shared" si="36"/>
        <v>-2.25</v>
      </c>
      <c r="P167" s="62"/>
      <c r="Q167" s="31">
        <f t="shared" si="29"/>
        <v>-9.4187204844152284</v>
      </c>
      <c r="R167" s="31">
        <f>SUM($Q$36:Q167)</f>
        <v>-1829.2523834583899</v>
      </c>
      <c r="S167" s="83">
        <f>IF($L$2&lt;&gt;1,-(R167-$R$36)/B167*12/$Q$36,0)</f>
        <v>-0.18982977126802533</v>
      </c>
      <c r="T167" s="31">
        <f>SUMPRODUCT($Q$36:Q167,$E$36:E167)/E167-R167</f>
        <v>-787.71258922341576</v>
      </c>
      <c r="U167" s="31">
        <f t="shared" si="30"/>
        <v>1299.2817856498459</v>
      </c>
      <c r="V167" s="31">
        <f t="shared" si="31"/>
        <v>1894.681785649846</v>
      </c>
      <c r="W167" s="80" cm="1">
        <f t="array" ref="W167">IF($L$2&lt;&gt;1,IRR(IF(ROW($Q$36:Q167)=ROW(Q167),Q167+L167-K167,$Q$36:Q167),W166/12)*12,0)</f>
        <v>7.0330725893716917E-2</v>
      </c>
      <c r="X167" s="83">
        <f>(1+W167/12)^(B167)-1</f>
        <v>1.1501463586335356</v>
      </c>
    </row>
    <row r="168" spans="2:24" x14ac:dyDescent="0.25">
      <c r="B168" s="33">
        <v>132</v>
      </c>
      <c r="C168" s="81">
        <f t="shared" si="27"/>
        <v>11</v>
      </c>
      <c r="D168" s="105">
        <f t="shared" si="28"/>
        <v>3.9789301544717048E-3</v>
      </c>
      <c r="E168" s="106">
        <f t="shared" si="32"/>
        <v>0.59204262828160736</v>
      </c>
      <c r="F168" s="60">
        <f>rate</f>
        <v>3.2737397821989145E-3</v>
      </c>
      <c r="G168" s="31">
        <f>IF(AND(B167&gt;=gracia,12*años+gracia-B167&gt;0,$L$2&lt;&gt;1),PMT(F167,12*años-B167+gracia,-K167),0)</f>
        <v>19.168720484415225</v>
      </c>
      <c r="H168" s="31">
        <f>IF(AND(12*años+gracia-B167&gt;0,$L$2&lt;&gt;1),K167*F168,0)</f>
        <v>10.100120763443551</v>
      </c>
      <c r="I168" s="31">
        <f>IF(AND(12*años+gracia-B167&gt;0,$L$2&lt;&gt;1),G168-H168,0)</f>
        <v>9.0685997209716742</v>
      </c>
      <c r="J168" s="62"/>
      <c r="K168" s="61">
        <f t="shared" si="33"/>
        <v>3076.1249206569596</v>
      </c>
      <c r="L168" s="61">
        <f>L167*(1+$J$17)^(1/12)</f>
        <v>6229.052418260073</v>
      </c>
      <c r="M168" s="31">
        <f t="shared" si="34"/>
        <v>12</v>
      </c>
      <c r="N168" s="31">
        <f t="shared" si="35"/>
        <v>0</v>
      </c>
      <c r="O168" s="31">
        <f t="shared" si="36"/>
        <v>-2.25</v>
      </c>
      <c r="P168" s="62"/>
      <c r="Q168" s="31">
        <f t="shared" si="29"/>
        <v>-9.4187204844152248</v>
      </c>
      <c r="R168" s="31">
        <f>SUM($Q$36:Q168)</f>
        <v>-1838.6711039428051</v>
      </c>
      <c r="S168" s="83">
        <f>IF($L$2&lt;&gt;1,-(R168-$R$36)/B168*12/$Q$36,0)</f>
        <v>-0.18982977126802533</v>
      </c>
      <c r="T168" s="31">
        <f>SUMPRODUCT($Q$36:Q168,$E$36:E168)/E168-R168</f>
        <v>-798.12531006641575</v>
      </c>
      <c r="U168" s="31">
        <f t="shared" si="30"/>
        <v>1314.2563936603083</v>
      </c>
      <c r="V168" s="31">
        <f t="shared" si="31"/>
        <v>1909.6563936603084</v>
      </c>
      <c r="W168" s="80" cm="1">
        <f t="array" ref="W168">IF($L$2&lt;&gt;1,IRR(IF(ROW($Q$36:Q168)=ROW(Q168),Q168+L168-K168,$Q$36:Q168),W167/12)*12,0)</f>
        <v>7.0198942348592475E-2</v>
      </c>
      <c r="X168" s="83">
        <f>(1+W168/12)^(B168)-1</f>
        <v>1.1596334730630184</v>
      </c>
    </row>
    <row r="169" spans="2:24" x14ac:dyDescent="0.25">
      <c r="B169" s="33">
        <v>133</v>
      </c>
      <c r="C169" s="81">
        <f t="shared" si="27"/>
        <v>11.083333333333334</v>
      </c>
      <c r="D169" s="105">
        <f t="shared" si="28"/>
        <v>3.9789301544717048E-3</v>
      </c>
      <c r="E169" s="106">
        <f t="shared" si="32"/>
        <v>0.58969626801880792</v>
      </c>
      <c r="F169" s="60">
        <f>rate</f>
        <v>3.2737397821989145E-3</v>
      </c>
      <c r="G169" s="31">
        <f>IF(AND(B168&gt;=gracia,12*años+gracia-B168&gt;0,$L$2&lt;&gt;1),PMT(F168,12*años-B168+gracia,-K168),0)</f>
        <v>19.168720484415225</v>
      </c>
      <c r="H169" s="31">
        <f>IF(AND(12*años+gracia-B168&gt;0,$L$2&lt;&gt;1),K168*F169,0)</f>
        <v>10.070432527768167</v>
      </c>
      <c r="I169" s="31">
        <f>IF(AND(12*años+gracia-B168&gt;0,$L$2&lt;&gt;1),G169-H169,0)</f>
        <v>9.0982879566470576</v>
      </c>
      <c r="J169" s="62"/>
      <c r="K169" s="61">
        <f t="shared" si="33"/>
        <v>3067.0266327003123</v>
      </c>
      <c r="L169" s="61">
        <f>L168*(1+$J$17)^(1/12)</f>
        <v>6244.4149419493233</v>
      </c>
      <c r="M169" s="31">
        <f t="shared" si="34"/>
        <v>12</v>
      </c>
      <c r="N169" s="31">
        <f t="shared" si="35"/>
        <v>0</v>
      </c>
      <c r="O169" s="31">
        <f t="shared" si="36"/>
        <v>-2.25</v>
      </c>
      <c r="P169" s="62"/>
      <c r="Q169" s="31">
        <f t="shared" si="29"/>
        <v>-9.4187204844152248</v>
      </c>
      <c r="R169" s="31">
        <f>SUM($Q$36:Q169)</f>
        <v>-1848.0898244272203</v>
      </c>
      <c r="S169" s="83">
        <f>IF($L$2&lt;&gt;1,-(R169-$R$36)/B169*12/$Q$36,0)</f>
        <v>-0.18982977126802533</v>
      </c>
      <c r="T169" s="31">
        <f>SUMPRODUCT($Q$36:Q169,$E$36:E169)/E169-R169</f>
        <v>-808.61693882931968</v>
      </c>
      <c r="U169" s="31">
        <f t="shared" si="30"/>
        <v>1329.2984848217902</v>
      </c>
      <c r="V169" s="31">
        <f t="shared" si="31"/>
        <v>1924.6984848217903</v>
      </c>
      <c r="W169" s="80" cm="1">
        <f t="array" ref="W169">IF($L$2&lt;&gt;1,IRR(IF(ROW($Q$36:Q169)=ROW(Q169),Q169+L169-K169,$Q$36:Q169),W168/12)*12,0)</f>
        <v>7.0067514683971766E-2</v>
      </c>
      <c r="X169" s="83">
        <f>(1+W169/12)^(B169)-1</f>
        <v>1.1691235538289941</v>
      </c>
    </row>
    <row r="170" spans="2:24" x14ac:dyDescent="0.25">
      <c r="B170" s="33">
        <v>134</v>
      </c>
      <c r="C170" s="81">
        <f t="shared" si="27"/>
        <v>11.166666666666666</v>
      </c>
      <c r="D170" s="105">
        <f t="shared" si="28"/>
        <v>3.9789301544717048E-3</v>
      </c>
      <c r="E170" s="106">
        <f t="shared" si="32"/>
        <v>0.58735920675952591</v>
      </c>
      <c r="F170" s="60">
        <f>rate</f>
        <v>3.2737397821989145E-3</v>
      </c>
      <c r="G170" s="31">
        <f>IF(AND(B169&gt;=gracia,12*años+gracia-B169&gt;0,$L$2&lt;&gt;1),PMT(F169,12*años-B169+gracia,-K169),0)</f>
        <v>19.168720484415225</v>
      </c>
      <c r="H170" s="31">
        <f>IF(AND(12*años+gracia-B169&gt;0,$L$2&lt;&gt;1),K169*F170,0)</f>
        <v>10.04064710053459</v>
      </c>
      <c r="I170" s="31">
        <f>IF(AND(12*años+gracia-B169&gt;0,$L$2&lt;&gt;1),G170-H170,0)</f>
        <v>9.1280733838806345</v>
      </c>
      <c r="J170" s="62"/>
      <c r="K170" s="61">
        <f t="shared" si="33"/>
        <v>3057.8985593164316</v>
      </c>
      <c r="L170" s="61">
        <f>L169*(1+$J$17)^(1/12)</f>
        <v>6259.8153537663748</v>
      </c>
      <c r="M170" s="31">
        <f t="shared" si="34"/>
        <v>12</v>
      </c>
      <c r="N170" s="31">
        <f t="shared" si="35"/>
        <v>0</v>
      </c>
      <c r="O170" s="31">
        <f t="shared" si="36"/>
        <v>-2.25</v>
      </c>
      <c r="P170" s="62"/>
      <c r="Q170" s="31">
        <f t="shared" si="29"/>
        <v>-9.4187204844152248</v>
      </c>
      <c r="R170" s="31">
        <f>SUM($Q$36:Q170)</f>
        <v>-1857.5085449116355</v>
      </c>
      <c r="S170" s="83">
        <f>IF($L$2&lt;&gt;1,-(R170-$R$36)/B170*12/$Q$36,0)</f>
        <v>-0.18982977126802533</v>
      </c>
      <c r="T170" s="31">
        <f>SUMPRODUCT($Q$36:Q170,$E$36:E170)/E170-R170</f>
        <v>-819.18778948123008</v>
      </c>
      <c r="U170" s="31">
        <f t="shared" si="30"/>
        <v>1344.4082495383082</v>
      </c>
      <c r="V170" s="31">
        <f t="shared" si="31"/>
        <v>1939.8082495383082</v>
      </c>
      <c r="W170" s="80" cm="1">
        <f t="array" ref="W170">IF($L$2&lt;&gt;1,IRR(IF(ROW($Q$36:Q170)=ROW(Q170),Q170+L170-K170,$Q$36:Q170),W169/12)*12,0)</f>
        <v>6.9936458419315173E-2</v>
      </c>
      <c r="X170" s="83">
        <f>(1+W170/12)^(B170)-1</f>
        <v>1.1786168404743558</v>
      </c>
    </row>
    <row r="171" spans="2:24" x14ac:dyDescent="0.25">
      <c r="B171" s="33">
        <v>135</v>
      </c>
      <c r="C171" s="81">
        <f t="shared" si="27"/>
        <v>11.25</v>
      </c>
      <c r="D171" s="105">
        <f t="shared" si="28"/>
        <v>3.9789301544717048E-3</v>
      </c>
      <c r="E171" s="106">
        <f t="shared" si="32"/>
        <v>0.58503140765031303</v>
      </c>
      <c r="F171" s="60">
        <f>rate</f>
        <v>3.2737397821989145E-3</v>
      </c>
      <c r="G171" s="31">
        <f>IF(AND(B170&gt;=gracia,12*años+gracia-B170&gt;0,$L$2&lt;&gt;1),PMT(F170,12*años-B170+gracia,-K170),0)</f>
        <v>19.168720484415225</v>
      </c>
      <c r="H171" s="31">
        <f>IF(AND(12*años+gracia-B170&gt;0,$L$2&lt;&gt;1),K170*F171,0)</f>
        <v>10.01076416356295</v>
      </c>
      <c r="I171" s="31">
        <f>IF(AND(12*años+gracia-B170&gt;0,$L$2&lt;&gt;1),G171-H171,0)</f>
        <v>9.157956320852275</v>
      </c>
      <c r="J171" s="62"/>
      <c r="K171" s="61">
        <f t="shared" si="33"/>
        <v>3048.7406029955791</v>
      </c>
      <c r="L171" s="61">
        <f>L170*(1+$J$17)^(1/12)</f>
        <v>6275.2537471535716</v>
      </c>
      <c r="M171" s="31">
        <f t="shared" si="34"/>
        <v>12</v>
      </c>
      <c r="N171" s="31">
        <f t="shared" si="35"/>
        <v>0</v>
      </c>
      <c r="O171" s="31">
        <f t="shared" si="36"/>
        <v>-2.25</v>
      </c>
      <c r="P171" s="62"/>
      <c r="Q171" s="31">
        <f t="shared" si="29"/>
        <v>-9.4187204844152248</v>
      </c>
      <c r="R171" s="31">
        <f>SUM($Q$36:Q171)</f>
        <v>-1866.9272653960506</v>
      </c>
      <c r="S171" s="83">
        <f>IF($L$2&lt;&gt;1,-(R171-$R$36)/B171*12/$Q$36,0)</f>
        <v>-0.18982977126802533</v>
      </c>
      <c r="T171" s="31">
        <f>SUMPRODUCT($Q$36:Q171,$E$36:E171)/E171-R171</f>
        <v>-829.83817724051005</v>
      </c>
      <c r="U171" s="31">
        <f t="shared" si="30"/>
        <v>1359.5858787619418</v>
      </c>
      <c r="V171" s="31">
        <f t="shared" si="31"/>
        <v>1954.9858787619419</v>
      </c>
      <c r="W171" s="80" cm="1">
        <f t="array" ref="W171">IF($L$2&lt;&gt;1,IRR(IF(ROW($Q$36:Q171)=ROW(Q171),Q171+L171-K171,$Q$36:Q171),W170/12)*12,0)</f>
        <v>6.9805788160291371E-2</v>
      </c>
      <c r="X171" s="83">
        <f>(1+W171/12)^(B171)-1</f>
        <v>1.18811356977066</v>
      </c>
    </row>
    <row r="172" spans="2:24" x14ac:dyDescent="0.25">
      <c r="B172" s="33">
        <v>136</v>
      </c>
      <c r="C172" s="81">
        <f t="shared" si="27"/>
        <v>11.333333333333334</v>
      </c>
      <c r="D172" s="105">
        <f t="shared" si="28"/>
        <v>3.9789301544717048E-3</v>
      </c>
      <c r="E172" s="106">
        <f t="shared" si="32"/>
        <v>0.58271283398377727</v>
      </c>
      <c r="F172" s="60">
        <f>rate</f>
        <v>3.2737397821989145E-3</v>
      </c>
      <c r="G172" s="31">
        <f>IF(AND(B171&gt;=gracia,12*años+gracia-B171&gt;0,$L$2&lt;&gt;1),PMT(F171,12*años-B171+gracia,-K171),0)</f>
        <v>19.168720484415225</v>
      </c>
      <c r="H172" s="31">
        <f>IF(AND(12*años+gracia-B171&gt;0,$L$2&lt;&gt;1),K171*F172,0)</f>
        <v>9.9807833976317344</v>
      </c>
      <c r="I172" s="31">
        <f>IF(AND(12*años+gracia-B171&gt;0,$L$2&lt;&gt;1),G172-H172,0)</f>
        <v>9.1879370867834904</v>
      </c>
      <c r="J172" s="62"/>
      <c r="K172" s="61">
        <f t="shared" si="33"/>
        <v>3039.5526659087955</v>
      </c>
      <c r="L172" s="61">
        <f>L171*(1+$J$17)^(1/12)</f>
        <v>6290.7302157837121</v>
      </c>
      <c r="M172" s="31">
        <f t="shared" si="34"/>
        <v>12</v>
      </c>
      <c r="N172" s="31">
        <f t="shared" si="35"/>
        <v>0</v>
      </c>
      <c r="O172" s="31">
        <f t="shared" si="36"/>
        <v>-2.25</v>
      </c>
      <c r="P172" s="62"/>
      <c r="Q172" s="31">
        <f t="shared" si="29"/>
        <v>-9.4187204844152248</v>
      </c>
      <c r="R172" s="31">
        <f>SUM($Q$36:Q172)</f>
        <v>-1876.3459858804658</v>
      </c>
      <c r="S172" s="83">
        <f>IF($L$2&lt;&gt;1,-(R172-$R$36)/B172*12/$Q$36,0)</f>
        <v>-0.18982977126802533</v>
      </c>
      <c r="T172" s="31">
        <f>SUMPRODUCT($Q$36:Q172,$E$36:E172)/E172-R172</f>
        <v>-840.56841857975405</v>
      </c>
      <c r="U172" s="31">
        <f t="shared" si="30"/>
        <v>1374.8315639944512</v>
      </c>
      <c r="V172" s="31">
        <f t="shared" si="31"/>
        <v>1970.2315639944513</v>
      </c>
      <c r="W172" s="80" cm="1">
        <f t="array" ref="W172">IF($L$2&lt;&gt;1,IRR(IF(ROW($Q$36:Q172)=ROW(Q172),Q172+L172-K172,$Q$36:Q172),W171/12)*12,0)</f>
        <v>6.9675517643570828E-2</v>
      </c>
      <c r="X172" s="83">
        <f>(1+W172/12)^(B172)-1</f>
        <v>1.1976139757782276</v>
      </c>
    </row>
    <row r="173" spans="2:24" x14ac:dyDescent="0.25">
      <c r="B173" s="33">
        <v>137</v>
      </c>
      <c r="C173" s="81">
        <f t="shared" si="27"/>
        <v>11.416666666666666</v>
      </c>
      <c r="D173" s="105">
        <f t="shared" si="28"/>
        <v>3.9789301544717048E-3</v>
      </c>
      <c r="E173" s="106">
        <f t="shared" si="32"/>
        <v>0.58040344919800391</v>
      </c>
      <c r="F173" s="60">
        <f>rate</f>
        <v>3.2737397821989145E-3</v>
      </c>
      <c r="G173" s="31">
        <f>IF(AND(B172&gt;=gracia,12*años+gracia-B172&gt;0,$L$2&lt;&gt;1),PMT(F172,12*años-B172+gracia,-K172),0)</f>
        <v>19.168720484415225</v>
      </c>
      <c r="H173" s="31">
        <f>IF(AND(12*años+gracia-B172&gt;0,$L$2&lt;&gt;1),K172*F173,0)</f>
        <v>9.9507044824743893</v>
      </c>
      <c r="I173" s="31">
        <f>IF(AND(12*años+gracia-B172&gt;0,$L$2&lt;&gt;1),G173-H173,0)</f>
        <v>9.2180160019408355</v>
      </c>
      <c r="J173" s="62"/>
      <c r="K173" s="61">
        <f t="shared" si="33"/>
        <v>3030.3346499068548</v>
      </c>
      <c r="L173" s="61">
        <f>L172*(1+$J$17)^(1/12)</f>
        <v>6306.2448535606172</v>
      </c>
      <c r="M173" s="31">
        <f t="shared" si="34"/>
        <v>12</v>
      </c>
      <c r="N173" s="31">
        <f t="shared" si="35"/>
        <v>0</v>
      </c>
      <c r="O173" s="31">
        <f t="shared" si="36"/>
        <v>-2.25</v>
      </c>
      <c r="P173" s="62"/>
      <c r="Q173" s="31">
        <f t="shared" si="29"/>
        <v>-9.4187204844152248</v>
      </c>
      <c r="R173" s="31">
        <f>SUM($Q$36:Q173)</f>
        <v>-1885.764706364881</v>
      </c>
      <c r="S173" s="83">
        <f>IF($L$2&lt;&gt;1,-(R173-$R$36)/B173*12/$Q$36,0)</f>
        <v>-0.18982977126802533</v>
      </c>
      <c r="T173" s="31">
        <f>SUMPRODUCT($Q$36:Q173,$E$36:E173)/E173-R173</f>
        <v>-851.37883123077972</v>
      </c>
      <c r="U173" s="31">
        <f t="shared" si="30"/>
        <v>1390.1454972888814</v>
      </c>
      <c r="V173" s="31">
        <f t="shared" si="31"/>
        <v>1985.5454972888815</v>
      </c>
      <c r="W173" s="80" cm="1">
        <f t="array" ref="W173">IF($L$2&lt;&gt;1,IRR(IF(ROW($Q$36:Q173)=ROW(Q173),Q173+L173-K173,$Q$36:Q173),W172/12)*12,0)</f>
        <v>6.9545659779293167E-2</v>
      </c>
      <c r="X173" s="83">
        <f>(1+W173/12)^(B173)-1</f>
        <v>1.2071182899039421</v>
      </c>
    </row>
    <row r="174" spans="2:24" x14ac:dyDescent="0.25">
      <c r="B174" s="33">
        <v>138</v>
      </c>
      <c r="C174" s="81">
        <f t="shared" si="27"/>
        <v>11.5</v>
      </c>
      <c r="D174" s="105">
        <f t="shared" si="28"/>
        <v>3.9789301544717048E-3</v>
      </c>
      <c r="E174" s="106">
        <f t="shared" si="32"/>
        <v>0.57810321687597899</v>
      </c>
      <c r="F174" s="60">
        <f>rate</f>
        <v>3.2737397821989145E-3</v>
      </c>
      <c r="G174" s="31">
        <f>IF(AND(B173&gt;=gracia,12*años+gracia-B173&gt;0,$L$2&lt;&gt;1),PMT(F173,12*años-B173+gracia,-K173),0)</f>
        <v>19.168720484415225</v>
      </c>
      <c r="H174" s="31">
        <f>IF(AND(12*años+gracia-B173&gt;0,$L$2&lt;&gt;1),K173*F174,0)</f>
        <v>9.9205270967758903</v>
      </c>
      <c r="I174" s="31">
        <f>IF(AND(12*años+gracia-B173&gt;0,$L$2&lt;&gt;1),G174-H174,0)</f>
        <v>9.2481933876393345</v>
      </c>
      <c r="J174" s="62"/>
      <c r="K174" s="61">
        <f t="shared" si="33"/>
        <v>3021.0864565192155</v>
      </c>
      <c r="L174" s="61">
        <f>L173*(1+$J$17)^(1/12)</f>
        <v>6321.7977546196998</v>
      </c>
      <c r="M174" s="31">
        <f t="shared" si="34"/>
        <v>12</v>
      </c>
      <c r="N174" s="31">
        <f t="shared" si="35"/>
        <v>0</v>
      </c>
      <c r="O174" s="31">
        <f t="shared" si="36"/>
        <v>-2.25</v>
      </c>
      <c r="P174" s="62"/>
      <c r="Q174" s="31">
        <f t="shared" si="29"/>
        <v>-9.4187204844152248</v>
      </c>
      <c r="R174" s="31">
        <f>SUM($Q$36:Q174)</f>
        <v>-1895.1834268492962</v>
      </c>
      <c r="S174" s="83">
        <f>IF($L$2&lt;&gt;1,-(R174-$R$36)/B174*12/$Q$36,0)</f>
        <v>-0.18982977126802533</v>
      </c>
      <c r="T174" s="31">
        <f>SUMPRODUCT($Q$36:Q174,$E$36:E174)/E174-R174</f>
        <v>-862.26973418963644</v>
      </c>
      <c r="U174" s="31">
        <f t="shared" si="30"/>
        <v>1405.5278712511881</v>
      </c>
      <c r="V174" s="31">
        <f t="shared" si="31"/>
        <v>2000.9278712511882</v>
      </c>
      <c r="W174" s="80" cm="1">
        <f t="array" ref="W174">IF($L$2&lt;&gt;1,IRR(IF(ROW($Q$36:Q174)=ROW(Q174),Q174+L174-K174,$Q$36:Q174),W173/12)*12,0)</f>
        <v>6.9416226691384253E-2</v>
      </c>
      <c r="X174" s="83">
        <f>(1+W174/12)^(B174)-1</f>
        <v>1.2166267409581675</v>
      </c>
    </row>
    <row r="175" spans="2:24" x14ac:dyDescent="0.25">
      <c r="B175" s="33">
        <v>139</v>
      </c>
      <c r="C175" s="81">
        <f t="shared" si="27"/>
        <v>11.583333333333334</v>
      </c>
      <c r="D175" s="105">
        <f t="shared" si="28"/>
        <v>3.9789301544717048E-3</v>
      </c>
      <c r="E175" s="106">
        <f t="shared" si="32"/>
        <v>0.57581210074501499</v>
      </c>
      <c r="F175" s="60">
        <f>rate</f>
        <v>3.2737397821989145E-3</v>
      </c>
      <c r="G175" s="31">
        <f>IF(AND(B174&gt;=gracia,12*años+gracia-B174&gt;0,$L$2&lt;&gt;1),PMT(F174,12*años-B174+gracia,-K174),0)</f>
        <v>19.168720484415225</v>
      </c>
      <c r="H175" s="31">
        <f>IF(AND(12*años+gracia-B174&gt;0,$L$2&lt;&gt;1),K174*F175,0)</f>
        <v>9.8902509181693077</v>
      </c>
      <c r="I175" s="31">
        <f>IF(AND(12*años+gracia-B174&gt;0,$L$2&lt;&gt;1),G175-H175,0)</f>
        <v>9.2784695662459171</v>
      </c>
      <c r="J175" s="62"/>
      <c r="K175" s="61">
        <f t="shared" si="33"/>
        <v>3011.8079869529697</v>
      </c>
      <c r="L175" s="61">
        <f>L174*(1+$J$17)^(1/12)</f>
        <v>6337.3890133285358</v>
      </c>
      <c r="M175" s="31">
        <f t="shared" si="34"/>
        <v>12</v>
      </c>
      <c r="N175" s="31">
        <f t="shared" si="35"/>
        <v>0</v>
      </c>
      <c r="O175" s="31">
        <f t="shared" si="36"/>
        <v>-2.25</v>
      </c>
      <c r="P175" s="62"/>
      <c r="Q175" s="31">
        <f t="shared" si="29"/>
        <v>-9.4187204844152248</v>
      </c>
      <c r="R175" s="31">
        <f>SUM($Q$36:Q175)</f>
        <v>-1904.6021473337114</v>
      </c>
      <c r="S175" s="83">
        <f>IF($L$2&lt;&gt;1,-(R175-$R$36)/B175*12/$Q$36,0)</f>
        <v>-0.18982977126802533</v>
      </c>
      <c r="T175" s="31">
        <f>SUMPRODUCT($Q$36:Q175,$E$36:E175)/E175-R175</f>
        <v>-873.24144772163709</v>
      </c>
      <c r="U175" s="31">
        <f t="shared" si="30"/>
        <v>1420.9788790418543</v>
      </c>
      <c r="V175" s="31">
        <f t="shared" si="31"/>
        <v>2016.3788790418544</v>
      </c>
      <c r="W175" s="80" cm="1">
        <f t="array" ref="W175">IF($L$2&lt;&gt;1,IRR(IF(ROW($Q$36:Q175)=ROW(Q175),Q175+L175-K175,$Q$36:Q175),W174/12)*12,0)</f>
        <v>6.928722975581092E-2</v>
      </c>
      <c r="X175" s="83">
        <f>(1+W175/12)^(B175)-1</f>
        <v>1.2261395552098096</v>
      </c>
    </row>
    <row r="176" spans="2:24" x14ac:dyDescent="0.25">
      <c r="B176" s="33">
        <v>140</v>
      </c>
      <c r="C176" s="81">
        <f t="shared" si="27"/>
        <v>11.666666666666666</v>
      </c>
      <c r="D176" s="105">
        <f t="shared" si="28"/>
        <v>3.9789301544717048E-3</v>
      </c>
      <c r="E176" s="106">
        <f t="shared" si="32"/>
        <v>0.57353006467617884</v>
      </c>
      <c r="F176" s="60">
        <f>rate</f>
        <v>3.2737397821989145E-3</v>
      </c>
      <c r="G176" s="31">
        <f>IF(AND(B175&gt;=gracia,12*años+gracia-B175&gt;0,$L$2&lt;&gt;1),PMT(F175,12*años-B175+gracia,-K175),0)</f>
        <v>19.168720484415221</v>
      </c>
      <c r="H176" s="31">
        <f>IF(AND(12*años+gracia-B175&gt;0,$L$2&lt;&gt;1),K175*F176,0)</f>
        <v>9.8598756232323659</v>
      </c>
      <c r="I176" s="31">
        <f>IF(AND(12*años+gracia-B175&gt;0,$L$2&lt;&gt;1),G176-H176,0)</f>
        <v>9.3088448611828554</v>
      </c>
      <c r="J176" s="62"/>
      <c r="K176" s="61">
        <f t="shared" si="33"/>
        <v>3002.4991420917868</v>
      </c>
      <c r="L176" s="61">
        <f>L175*(1+$J$17)^(1/12)</f>
        <v>6353.0187242874372</v>
      </c>
      <c r="M176" s="31">
        <f t="shared" si="34"/>
        <v>12</v>
      </c>
      <c r="N176" s="31">
        <f t="shared" si="35"/>
        <v>0</v>
      </c>
      <c r="O176" s="31">
        <f t="shared" si="36"/>
        <v>-2.25</v>
      </c>
      <c r="P176" s="62"/>
      <c r="Q176" s="31">
        <f t="shared" si="29"/>
        <v>-9.4187204844152213</v>
      </c>
      <c r="R176" s="31">
        <f>SUM($Q$36:Q176)</f>
        <v>-1914.0208678181266</v>
      </c>
      <c r="S176" s="83">
        <f>IF($L$2&lt;&gt;1,-(R176-$R$36)/B176*12/$Q$36,0)</f>
        <v>-0.18982977126802533</v>
      </c>
      <c r="T176" s="31">
        <f>SUMPRODUCT($Q$36:Q176,$E$36:E176)/E176-R176</f>
        <v>-884.29429336640897</v>
      </c>
      <c r="U176" s="31">
        <f t="shared" si="30"/>
        <v>1436.4987143775243</v>
      </c>
      <c r="V176" s="31">
        <f t="shared" si="31"/>
        <v>2031.8987143775244</v>
      </c>
      <c r="W176" s="80" cm="1">
        <f t="array" ref="W176">IF($L$2&lt;&gt;1,IRR(IF(ROW($Q$36:Q176)=ROW(Q176),Q176+L176-K176,$Q$36:Q176),W175/12)*12,0)</f>
        <v>6.9158679636914577E-2</v>
      </c>
      <c r="X176" s="83">
        <f>(1+W176/12)^(B176)-1</f>
        <v>1.235656956440395</v>
      </c>
    </row>
    <row r="177" spans="2:24" x14ac:dyDescent="0.25">
      <c r="B177" s="33">
        <v>141</v>
      </c>
      <c r="C177" s="81">
        <f t="shared" si="27"/>
        <v>11.75</v>
      </c>
      <c r="D177" s="105">
        <f t="shared" si="28"/>
        <v>3.9789301544717048E-3</v>
      </c>
      <c r="E177" s="106">
        <f t="shared" si="32"/>
        <v>0.57125707268372239</v>
      </c>
      <c r="F177" s="60">
        <f>rate</f>
        <v>3.2737397821989145E-3</v>
      </c>
      <c r="G177" s="31">
        <f>IF(AND(B176&gt;=gracia,12*años+gracia-B176&gt;0,$L$2&lt;&gt;1),PMT(F176,12*años-B176+gracia,-K176),0)</f>
        <v>19.168720484415225</v>
      </c>
      <c r="H177" s="31">
        <f>IF(AND(12*años+gracia-B176&gt;0,$L$2&lt;&gt;1),K176*F177,0)</f>
        <v>9.8294008874839935</v>
      </c>
      <c r="I177" s="31">
        <f>IF(AND(12*años+gracia-B176&gt;0,$L$2&lt;&gt;1),G177-H177,0)</f>
        <v>9.3393195969312313</v>
      </c>
      <c r="J177" s="62"/>
      <c r="K177" s="61">
        <f t="shared" si="33"/>
        <v>2993.1598224948557</v>
      </c>
      <c r="L177" s="61">
        <f>L176*(1+$J$17)^(1/12)</f>
        <v>6368.6869823300267</v>
      </c>
      <c r="M177" s="31">
        <f t="shared" si="34"/>
        <v>12</v>
      </c>
      <c r="N177" s="31">
        <f t="shared" si="35"/>
        <v>0</v>
      </c>
      <c r="O177" s="31">
        <f t="shared" si="36"/>
        <v>-2.25</v>
      </c>
      <c r="P177" s="62"/>
      <c r="Q177" s="31">
        <f t="shared" si="29"/>
        <v>-9.4187204844152248</v>
      </c>
      <c r="R177" s="31">
        <f>SUM($Q$36:Q177)</f>
        <v>-1923.4395883025418</v>
      </c>
      <c r="S177" s="83">
        <f>IF($L$2&lt;&gt;1,-(R177-$R$36)/B177*12/$Q$36,0)</f>
        <v>-0.18982977126802533</v>
      </c>
      <c r="T177" s="31">
        <f>SUMPRODUCT($Q$36:Q177,$E$36:E177)/E177-R177</f>
        <v>-895.42859394296147</v>
      </c>
      <c r="U177" s="31">
        <f t="shared" si="30"/>
        <v>1452.0875715326292</v>
      </c>
      <c r="V177" s="31">
        <f t="shared" si="31"/>
        <v>2047.4875715326293</v>
      </c>
      <c r="W177" s="80" cm="1">
        <f t="array" ref="W177">IF($L$2&lt;&gt;1,IRR(IF(ROW($Q$36:Q177)=ROW(Q177),Q177+L177-K177,$Q$36:Q177),W176/12)*12,0)</f>
        <v>6.9030586321919607E-2</v>
      </c>
      <c r="X177" s="83">
        <f>(1+W177/12)^(B177)-1</f>
        <v>1.245179165996984</v>
      </c>
    </row>
    <row r="178" spans="2:24" x14ac:dyDescent="0.25">
      <c r="B178" s="33">
        <v>142</v>
      </c>
      <c r="C178" s="81">
        <f t="shared" si="27"/>
        <v>11.833333333333334</v>
      </c>
      <c r="D178" s="105">
        <f t="shared" si="28"/>
        <v>3.9789301544717048E-3</v>
      </c>
      <c r="E178" s="106">
        <f t="shared" si="32"/>
        <v>0.56899308892451461</v>
      </c>
      <c r="F178" s="60">
        <f>rate</f>
        <v>3.2737397821989145E-3</v>
      </c>
      <c r="G178" s="31">
        <f>IF(AND(B177&gt;=gracia,12*años+gracia-B177&gt;0,$L$2&lt;&gt;1),PMT(F177,12*años-B177+gracia,-K177),0)</f>
        <v>19.168720484415225</v>
      </c>
      <c r="H178" s="31">
        <f>IF(AND(12*años+gracia-B177&gt;0,$L$2&lt;&gt;1),K177*F178,0)</f>
        <v>9.7988263853808508</v>
      </c>
      <c r="I178" s="31">
        <f>IF(AND(12*años+gracia-B177&gt;0,$L$2&lt;&gt;1),G178-H178,0)</f>
        <v>9.369894099034374</v>
      </c>
      <c r="J178" s="62"/>
      <c r="K178" s="61">
        <f t="shared" si="33"/>
        <v>2983.7899283958213</v>
      </c>
      <c r="L178" s="61">
        <f>L177*(1+$J$17)^(1/12)</f>
        <v>6384.393882523811</v>
      </c>
      <c r="M178" s="31">
        <f t="shared" si="34"/>
        <v>12</v>
      </c>
      <c r="N178" s="31">
        <f t="shared" si="35"/>
        <v>0</v>
      </c>
      <c r="O178" s="31">
        <f t="shared" si="36"/>
        <v>-2.25</v>
      </c>
      <c r="P178" s="62"/>
      <c r="Q178" s="31">
        <f t="shared" si="29"/>
        <v>-9.4187204844152248</v>
      </c>
      <c r="R178" s="31">
        <f>SUM($Q$36:Q178)</f>
        <v>-1932.858308786957</v>
      </c>
      <c r="S178" s="83">
        <f>IF($L$2&lt;&gt;1,-(R178-$R$36)/B178*12/$Q$36,0)</f>
        <v>-0.18982977126802533</v>
      </c>
      <c r="T178" s="31">
        <f>SUMPRODUCT($Q$36:Q178,$E$36:E178)/E178-R178</f>
        <v>-906.64467355477927</v>
      </c>
      <c r="U178" s="31">
        <f t="shared" si="30"/>
        <v>1467.7456453410323</v>
      </c>
      <c r="V178" s="31">
        <f t="shared" si="31"/>
        <v>2063.1456453410324</v>
      </c>
      <c r="W178" s="80" cm="1">
        <f t="array" ref="W178">IF($L$2&lt;&gt;1,IRR(IF(ROW($Q$36:Q178)=ROW(Q178),Q178+L178-K178,$Q$36:Q178),W177/12)*12,0)</f>
        <v>6.8902959153685828E-2</v>
      </c>
      <c r="X178" s="83">
        <f>(1+W178/12)^(B178)-1</f>
        <v>1.2547064028427513</v>
      </c>
    </row>
    <row r="179" spans="2:24" x14ac:dyDescent="0.25">
      <c r="B179" s="33">
        <v>143</v>
      </c>
      <c r="C179" s="81">
        <f t="shared" si="27"/>
        <v>11.916666666666666</v>
      </c>
      <c r="D179" s="105">
        <f t="shared" si="28"/>
        <v>3.9789301544717048E-3</v>
      </c>
      <c r="E179" s="106">
        <f t="shared" si="32"/>
        <v>0.56673807769747675</v>
      </c>
      <c r="F179" s="60">
        <f>rate</f>
        <v>3.2737397821989145E-3</v>
      </c>
      <c r="G179" s="31">
        <f>IF(AND(B178&gt;=gracia,12*años+gracia-B178&gt;0,$L$2&lt;&gt;1),PMT(F178,12*años-B178+gracia,-K178),0)</f>
        <v>19.168720484415225</v>
      </c>
      <c r="H179" s="31">
        <f>IF(AND(12*años+gracia-B178&gt;0,$L$2&lt;&gt;1),K178*F179,0)</f>
        <v>9.7681517903138513</v>
      </c>
      <c r="I179" s="31">
        <f>IF(AND(12*años+gracia-B178&gt;0,$L$2&lt;&gt;1),G179-H179,0)</f>
        <v>9.4005686941013735</v>
      </c>
      <c r="J179" s="62"/>
      <c r="K179" s="61">
        <f t="shared" si="33"/>
        <v>2974.38935970172</v>
      </c>
      <c r="L179" s="61">
        <f>L178*(1+$J$17)^(1/12)</f>
        <v>6400.1395201707601</v>
      </c>
      <c r="M179" s="31">
        <f t="shared" si="34"/>
        <v>12</v>
      </c>
      <c r="N179" s="31">
        <f t="shared" si="35"/>
        <v>0</v>
      </c>
      <c r="O179" s="31">
        <f t="shared" si="36"/>
        <v>-2.25</v>
      </c>
      <c r="P179" s="62"/>
      <c r="Q179" s="31">
        <f t="shared" si="29"/>
        <v>-9.4187204844152248</v>
      </c>
      <c r="R179" s="31">
        <f>SUM($Q$36:Q179)</f>
        <v>-1942.2770292713722</v>
      </c>
      <c r="S179" s="83">
        <f>IF($L$2&lt;&gt;1,-(R179-$R$36)/B179*12/$Q$36,0)</f>
        <v>-0.18982977126802533</v>
      </c>
      <c r="T179" s="31">
        <f>SUMPRODUCT($Q$36:Q179,$E$36:E179)/E179-R179</f>
        <v>-917.94285759493141</v>
      </c>
      <c r="U179" s="31">
        <f t="shared" si="30"/>
        <v>1483.4731311976684</v>
      </c>
      <c r="V179" s="31">
        <f t="shared" si="31"/>
        <v>2078.8731311976685</v>
      </c>
      <c r="W179" s="80" cm="1">
        <f t="array" ref="W179">IF($L$2&lt;&gt;1,IRR(IF(ROW($Q$36:Q179)=ROW(Q179),Q179+L179-K179,$Q$36:Q179),W178/12)*12,0)</f>
        <v>6.8775806861875566E-2</v>
      </c>
      <c r="X179" s="83">
        <f>(1+W179/12)^(B179)-1</f>
        <v>1.2642388836082721</v>
      </c>
    </row>
    <row r="180" spans="2:24" x14ac:dyDescent="0.25">
      <c r="B180" s="33">
        <v>144</v>
      </c>
      <c r="C180" s="81">
        <f t="shared" si="27"/>
        <v>12</v>
      </c>
      <c r="D180" s="105">
        <f t="shared" si="28"/>
        <v>3.9789301544717048E-3</v>
      </c>
      <c r="E180" s="106">
        <f t="shared" si="32"/>
        <v>0.5644920034430192</v>
      </c>
      <c r="F180" s="60">
        <f>rate</f>
        <v>3.2737397821989145E-3</v>
      </c>
      <c r="G180" s="31">
        <f>IF(AND(B179&gt;=gracia,12*años+gracia-B179&gt;0,$L$2&lt;&gt;1),PMT(F179,12*años-B179+gracia,-K179),0)</f>
        <v>19.168720484415225</v>
      </c>
      <c r="H180" s="31">
        <f>IF(AND(12*años+gracia-B179&gt;0,$L$2&lt;&gt;1),K179*F180,0)</f>
        <v>9.7373767746046767</v>
      </c>
      <c r="I180" s="31">
        <f>IF(AND(12*años+gracia-B179&gt;0,$L$2&lt;&gt;1),G180-H180,0)</f>
        <v>9.4313437098105481</v>
      </c>
      <c r="J180" s="62"/>
      <c r="K180" s="61">
        <f t="shared" si="33"/>
        <v>2964.9580159919096</v>
      </c>
      <c r="L180" s="61">
        <f>L179*(1+$J$17)^(1/12)</f>
        <v>6415.9239908078835</v>
      </c>
      <c r="M180" s="31">
        <f t="shared" si="34"/>
        <v>12</v>
      </c>
      <c r="N180" s="31">
        <f t="shared" si="35"/>
        <v>0</v>
      </c>
      <c r="O180" s="31">
        <f t="shared" si="36"/>
        <v>-2.25</v>
      </c>
      <c r="P180" s="62"/>
      <c r="Q180" s="31">
        <f t="shared" si="29"/>
        <v>-9.4187204844152248</v>
      </c>
      <c r="R180" s="31">
        <f>SUM($Q$36:Q180)</f>
        <v>-1951.6957497557873</v>
      </c>
      <c r="S180" s="83">
        <f>IF($L$2&lt;&gt;1,-(R180-$R$36)/B180*12/$Q$36,0)</f>
        <v>-0.18982977126802533</v>
      </c>
      <c r="T180" s="31">
        <f>SUMPRODUCT($Q$36:Q180,$E$36:E180)/E180-R180</f>
        <v>-929.3234727512031</v>
      </c>
      <c r="U180" s="31">
        <f t="shared" si="30"/>
        <v>1499.2702250601869</v>
      </c>
      <c r="V180" s="31">
        <f t="shared" si="31"/>
        <v>2094.670225060187</v>
      </c>
      <c r="W180" s="80" cm="1">
        <f t="array" ref="W180">IF($L$2&lt;&gt;1,IRR(IF(ROW($Q$36:Q180)=ROW(Q180),Q180+L180-K180,$Q$36:Q180),W179/12)*12,0)</f>
        <v>6.8649137592514009E-2</v>
      </c>
      <c r="X180" s="83">
        <f>(1+W180/12)^(B180)-1</f>
        <v>1.2737768226392379</v>
      </c>
    </row>
    <row r="181" spans="2:24" x14ac:dyDescent="0.25">
      <c r="B181" s="33">
        <v>145</v>
      </c>
      <c r="C181" s="81">
        <f t="shared" si="27"/>
        <v>12.083333333333334</v>
      </c>
      <c r="D181" s="105">
        <f t="shared" si="28"/>
        <v>3.9789301544717048E-3</v>
      </c>
      <c r="E181" s="106">
        <f t="shared" si="32"/>
        <v>0.5622548307424805</v>
      </c>
      <c r="F181" s="60">
        <f>rate</f>
        <v>3.2737397821989145E-3</v>
      </c>
      <c r="G181" s="31">
        <f>IF(AND(B180&gt;=gracia,12*años+gracia-B180&gt;0,$L$2&lt;&gt;1),PMT(F180,12*años-B180+gracia,-K180),0)</f>
        <v>19.168720484415228</v>
      </c>
      <c r="H181" s="31">
        <f>IF(AND(12*años+gracia-B180&gt;0,$L$2&lt;&gt;1),K180*F181,0)</f>
        <v>9.7065010095022792</v>
      </c>
      <c r="I181" s="31">
        <f>IF(AND(12*años+gracia-B180&gt;0,$L$2&lt;&gt;1),G181-H181,0)</f>
        <v>9.4622194749129491</v>
      </c>
      <c r="J181" s="62"/>
      <c r="K181" s="61">
        <f t="shared" si="33"/>
        <v>2955.4957965169965</v>
      </c>
      <c r="L181" s="61">
        <f>L180*(1+$J$17)^(1/12)</f>
        <v>6431.7473902078109</v>
      </c>
      <c r="M181" s="31">
        <f t="shared" si="34"/>
        <v>12</v>
      </c>
      <c r="N181" s="31">
        <f t="shared" si="35"/>
        <v>0</v>
      </c>
      <c r="O181" s="31">
        <f t="shared" si="36"/>
        <v>-2.25</v>
      </c>
      <c r="P181" s="62"/>
      <c r="Q181" s="31">
        <f t="shared" si="29"/>
        <v>-9.4187204844152284</v>
      </c>
      <c r="R181" s="31">
        <f>SUM($Q$36:Q181)</f>
        <v>-1961.1144702402025</v>
      </c>
      <c r="S181" s="83">
        <f>IF($L$2&lt;&gt;1,-(R181-$R$36)/B181*12/$Q$36,0)</f>
        <v>-0.18982977126802533</v>
      </c>
      <c r="T181" s="31">
        <f>SUMPRODUCT($Q$36:Q181,$E$36:E181)/E181-R181</f>
        <v>-940.78684701124939</v>
      </c>
      <c r="U181" s="31">
        <f t="shared" si="30"/>
        <v>1515.1371234506114</v>
      </c>
      <c r="V181" s="31">
        <f t="shared" si="31"/>
        <v>2110.5371234506115</v>
      </c>
      <c r="W181" s="80" cm="1">
        <f t="array" ref="W181">IF($L$2&lt;&gt;1,IRR(IF(ROW($Q$36:Q181)=ROW(Q181),Q181+L181-K181,$Q$36:Q181),W180/12)*12,0)</f>
        <v>6.8522958936137357E-2</v>
      </c>
      <c r="X181" s="83">
        <f>(1+W181/12)^(B181)-1</f>
        <v>1.2833204320450124</v>
      </c>
    </row>
    <row r="182" spans="2:24" x14ac:dyDescent="0.25">
      <c r="B182" s="33">
        <v>146</v>
      </c>
      <c r="C182" s="81">
        <f t="shared" si="27"/>
        <v>12.166666666666666</v>
      </c>
      <c r="D182" s="105">
        <f t="shared" si="28"/>
        <v>3.9789301544717048E-3</v>
      </c>
      <c r="E182" s="106">
        <f t="shared" si="32"/>
        <v>0.56002652431756939</v>
      </c>
      <c r="F182" s="60">
        <f>rate</f>
        <v>3.2737397821989145E-3</v>
      </c>
      <c r="G182" s="31">
        <f>IF(AND(B181&gt;=gracia,12*años+gracia-B181&gt;0,$L$2&lt;&gt;1),PMT(F181,12*años-B181+gracia,-K181),0)</f>
        <v>19.168720484415225</v>
      </c>
      <c r="H182" s="31">
        <f>IF(AND(12*años+gracia-B181&gt;0,$L$2&lt;&gt;1),K181*F182,0)</f>
        <v>9.6755241651793593</v>
      </c>
      <c r="I182" s="31">
        <f>IF(AND(12*años+gracia-B181&gt;0,$L$2&lt;&gt;1),G182-H182,0)</f>
        <v>9.4931963192358655</v>
      </c>
      <c r="J182" s="62"/>
      <c r="K182" s="61">
        <f t="shared" si="33"/>
        <v>2946.0026001977608</v>
      </c>
      <c r="L182" s="61">
        <f>L181*(1+$J$17)^(1/12)</f>
        <v>6447.6098143793733</v>
      </c>
      <c r="M182" s="31">
        <f t="shared" si="34"/>
        <v>12</v>
      </c>
      <c r="N182" s="31">
        <f t="shared" si="35"/>
        <v>0</v>
      </c>
      <c r="O182" s="31">
        <f t="shared" si="36"/>
        <v>-2.25</v>
      </c>
      <c r="P182" s="62"/>
      <c r="Q182" s="31">
        <f t="shared" si="29"/>
        <v>-9.4187204844152248</v>
      </c>
      <c r="R182" s="31">
        <f>SUM($Q$36:Q182)</f>
        <v>-1970.5331907246177</v>
      </c>
      <c r="S182" s="83">
        <f>IF($L$2&lt;&gt;1,-(R182-$R$36)/B182*12/$Q$36,0)</f>
        <v>-0.18982977126802533</v>
      </c>
      <c r="T182" s="31">
        <f>SUMPRODUCT($Q$36:Q182,$E$36:E182)/E182-R182</f>
        <v>-952.33330966776202</v>
      </c>
      <c r="U182" s="31">
        <f t="shared" si="30"/>
        <v>1531.0740234569948</v>
      </c>
      <c r="V182" s="31">
        <f t="shared" si="31"/>
        <v>2126.4740234569949</v>
      </c>
      <c r="W182" s="80" cm="1">
        <f t="array" ref="W182">IF($L$2&lt;&gt;1,IRR(IF(ROW($Q$36:Q182)=ROW(Q182),Q182+L182-K182,$Q$36:Q182),W181/12)*12,0)</f>
        <v>6.8397277954542091E-2</v>
      </c>
      <c r="X182" s="83">
        <f>(1+W182/12)^(B182)-1</f>
        <v>1.2928699217450714</v>
      </c>
    </row>
    <row r="183" spans="2:24" x14ac:dyDescent="0.25">
      <c r="B183" s="33">
        <v>147</v>
      </c>
      <c r="C183" s="81">
        <f t="shared" si="27"/>
        <v>12.25</v>
      </c>
      <c r="D183" s="105">
        <f t="shared" si="28"/>
        <v>3.9789301544717048E-3</v>
      </c>
      <c r="E183" s="106">
        <f t="shared" si="32"/>
        <v>0.55780704902980782</v>
      </c>
      <c r="F183" s="60">
        <f>rate</f>
        <v>3.2737397821989145E-3</v>
      </c>
      <c r="G183" s="31">
        <f>IF(AND(B182&gt;=gracia,12*años+gracia-B182&gt;0,$L$2&lt;&gt;1),PMT(F182,12*años-B182+gracia,-K182),0)</f>
        <v>19.168720484415225</v>
      </c>
      <c r="H183" s="31">
        <f>IF(AND(12*años+gracia-B182&gt;0,$L$2&lt;&gt;1),K182*F183,0)</f>
        <v>9.6444459107288534</v>
      </c>
      <c r="I183" s="31">
        <f>IF(AND(12*años+gracia-B182&gt;0,$L$2&lt;&gt;1),G183-H183,0)</f>
        <v>9.5242745736863714</v>
      </c>
      <c r="J183" s="62"/>
      <c r="K183" s="61">
        <f t="shared" si="33"/>
        <v>2936.4783256240744</v>
      </c>
      <c r="L183" s="61">
        <f>L182*(1+$J$17)^(1/12)</f>
        <v>6463.511359568186</v>
      </c>
      <c r="M183" s="31">
        <f t="shared" si="34"/>
        <v>12</v>
      </c>
      <c r="N183" s="31">
        <f t="shared" si="35"/>
        <v>0</v>
      </c>
      <c r="O183" s="31">
        <f t="shared" si="36"/>
        <v>-2.25</v>
      </c>
      <c r="P183" s="62"/>
      <c r="Q183" s="31">
        <f t="shared" si="29"/>
        <v>-9.4187204844152248</v>
      </c>
      <c r="R183" s="31">
        <f>SUM($Q$36:Q183)</f>
        <v>-1979.9519112090329</v>
      </c>
      <c r="S183" s="83">
        <f>IF($L$2&lt;&gt;1,-(R183-$R$36)/B183*12/$Q$36,0)</f>
        <v>-0.18982977126802533</v>
      </c>
      <c r="T183" s="31">
        <f>SUMPRODUCT($Q$36:Q183,$E$36:E183)/E183-R183</f>
        <v>-963.96319132366807</v>
      </c>
      <c r="U183" s="31">
        <f t="shared" si="30"/>
        <v>1547.0811227350787</v>
      </c>
      <c r="V183" s="31">
        <f t="shared" si="31"/>
        <v>2142.4811227350788</v>
      </c>
      <c r="W183" s="80" cm="1">
        <f t="array" ref="W183">IF($L$2&lt;&gt;1,IRR(IF(ROW($Q$36:Q183)=ROW(Q183),Q183+L183-K183,$Q$36:Q183),W182/12)*12,0)</f>
        <v>6.8272101206199309E-2</v>
      </c>
      <c r="X183" s="83">
        <f>(1+W183/12)^(B183)-1</f>
        <v>1.3024254995144235</v>
      </c>
    </row>
    <row r="184" spans="2:24" x14ac:dyDescent="0.25">
      <c r="B184" s="33">
        <v>148</v>
      </c>
      <c r="C184" s="81">
        <f t="shared" si="27"/>
        <v>12.333333333333334</v>
      </c>
      <c r="D184" s="105">
        <f t="shared" si="28"/>
        <v>3.9789301544717048E-3</v>
      </c>
      <c r="E184" s="106">
        <f t="shared" si="32"/>
        <v>0.5555963698799774</v>
      </c>
      <c r="F184" s="60">
        <f>rate</f>
        <v>3.2737397821989145E-3</v>
      </c>
      <c r="G184" s="31">
        <f>IF(AND(B183&gt;=gracia,12*años+gracia-B183&gt;0,$L$2&lt;&gt;1),PMT(F183,12*años-B183+gracia,-K183),0)</f>
        <v>19.168720484415225</v>
      </c>
      <c r="H184" s="31">
        <f>IF(AND(12*años+gracia-B183&gt;0,$L$2&lt;&gt;1),K183*F184,0)</f>
        <v>9.6132659141603902</v>
      </c>
      <c r="I184" s="31">
        <f>IF(AND(12*años+gracia-B183&gt;0,$L$2&lt;&gt;1),G184-H184,0)</f>
        <v>9.5554545702548346</v>
      </c>
      <c r="J184" s="62"/>
      <c r="K184" s="61">
        <f t="shared" si="33"/>
        <v>2926.9228710538196</v>
      </c>
      <c r="L184" s="61">
        <f>L183*(1+$J$17)^(1/12)</f>
        <v>6479.4521222572303</v>
      </c>
      <c r="M184" s="31">
        <f t="shared" si="34"/>
        <v>12</v>
      </c>
      <c r="N184" s="31">
        <f t="shared" si="35"/>
        <v>0</v>
      </c>
      <c r="O184" s="31">
        <f t="shared" si="36"/>
        <v>-2.25</v>
      </c>
      <c r="P184" s="62"/>
      <c r="Q184" s="31">
        <f t="shared" si="29"/>
        <v>-9.4187204844152248</v>
      </c>
      <c r="R184" s="31">
        <f>SUM($Q$36:Q184)</f>
        <v>-1989.3706316934481</v>
      </c>
      <c r="S184" s="83">
        <f>IF($L$2&lt;&gt;1,-(R184-$R$36)/B184*12/$Q$36,0)</f>
        <v>-0.18982977126802533</v>
      </c>
      <c r="T184" s="31">
        <f>SUMPRODUCT($Q$36:Q184,$E$36:E184)/E184-R184</f>
        <v>-975.67682389734</v>
      </c>
      <c r="U184" s="31">
        <f t="shared" si="30"/>
        <v>1563.1586195099626</v>
      </c>
      <c r="V184" s="31">
        <f t="shared" si="31"/>
        <v>2158.5586195099627</v>
      </c>
      <c r="W184" s="80" cm="1">
        <f t="array" ref="W184">IF($L$2&lt;&gt;1,IRR(IF(ROW($Q$36:Q184)=ROW(Q184),Q184+L184-K184,$Q$36:Q184),W183/12)*12,0)</f>
        <v>6.8147434770462034E-2</v>
      </c>
      <c r="X184" s="83">
        <f>(1+W184/12)^(B184)-1</f>
        <v>1.3119873710280157</v>
      </c>
    </row>
    <row r="185" spans="2:24" x14ac:dyDescent="0.25">
      <c r="B185" s="33">
        <v>149</v>
      </c>
      <c r="C185" s="81">
        <f t="shared" si="27"/>
        <v>12.416666666666666</v>
      </c>
      <c r="D185" s="105">
        <f t="shared" si="28"/>
        <v>3.9789301544717048E-3</v>
      </c>
      <c r="E185" s="106">
        <f t="shared" si="32"/>
        <v>0.55339445200756709</v>
      </c>
      <c r="F185" s="60">
        <f>rate</f>
        <v>3.2737397821989145E-3</v>
      </c>
      <c r="G185" s="31">
        <f>IF(AND(B184&gt;=gracia,12*años+gracia-B184&gt;0,$L$2&lt;&gt;1),PMT(F184,12*años-B184+gracia,-K184),0)</f>
        <v>19.168720484415225</v>
      </c>
      <c r="H185" s="31">
        <f>IF(AND(12*años+gracia-B184&gt;0,$L$2&lt;&gt;1),K184*F185,0)</f>
        <v>9.5819838423967525</v>
      </c>
      <c r="I185" s="31">
        <f>IF(AND(12*años+gracia-B184&gt;0,$L$2&lt;&gt;1),G185-H185,0)</f>
        <v>9.5867366420184723</v>
      </c>
      <c r="J185" s="62"/>
      <c r="K185" s="61">
        <f t="shared" si="33"/>
        <v>2917.3361344118011</v>
      </c>
      <c r="L185" s="61">
        <f>L184*(1+$J$17)^(1/12)</f>
        <v>6495.4321991674424</v>
      </c>
      <c r="M185" s="31">
        <f t="shared" si="34"/>
        <v>12</v>
      </c>
      <c r="N185" s="31">
        <f t="shared" si="35"/>
        <v>0</v>
      </c>
      <c r="O185" s="31">
        <f t="shared" si="36"/>
        <v>-2.25</v>
      </c>
      <c r="P185" s="62"/>
      <c r="Q185" s="31">
        <f t="shared" si="29"/>
        <v>-9.4187204844152248</v>
      </c>
      <c r="R185" s="31">
        <f>SUM($Q$36:Q185)</f>
        <v>-1998.7893521778633</v>
      </c>
      <c r="S185" s="83">
        <f>IF($L$2&lt;&gt;1,-(R185-$R$36)/B185*12/$Q$36,0)</f>
        <v>-0.18982977126802533</v>
      </c>
      <c r="T185" s="31">
        <f>SUMPRODUCT($Q$36:Q185,$E$36:E185)/E185-R185</f>
        <v>-987.47454062783027</v>
      </c>
      <c r="U185" s="31">
        <f t="shared" si="30"/>
        <v>1579.3067125777779</v>
      </c>
      <c r="V185" s="31">
        <f t="shared" si="31"/>
        <v>2174.706712577778</v>
      </c>
      <c r="W185" s="80" cm="1">
        <f t="array" ref="W185">IF($L$2&lt;&gt;1,IRR(IF(ROW($Q$36:Q185)=ROW(Q185),Q185+L185-K185,$Q$36:Q185),W184/12)*12,0)</f>
        <v>6.8023284270570805E-2</v>
      </c>
      <c r="X185" s="83">
        <f>(1+W185/12)^(B185)-1</f>
        <v>1.3215557399043529</v>
      </c>
    </row>
    <row r="186" spans="2:24" x14ac:dyDescent="0.25">
      <c r="B186" s="33">
        <v>150</v>
      </c>
      <c r="C186" s="81">
        <f t="shared" si="27"/>
        <v>12.5</v>
      </c>
      <c r="D186" s="105">
        <f t="shared" si="28"/>
        <v>3.9789301544717048E-3</v>
      </c>
      <c r="E186" s="106">
        <f t="shared" si="32"/>
        <v>0.5512012606902239</v>
      </c>
      <c r="F186" s="60">
        <f>rate</f>
        <v>3.2737397821989145E-3</v>
      </c>
      <c r="G186" s="31">
        <f>IF(AND(B185&gt;=gracia,12*años+gracia-B185&gt;0,$L$2&lt;&gt;1),PMT(F185,12*años-B185+gracia,-K185),0)</f>
        <v>19.168720484415225</v>
      </c>
      <c r="H186" s="31">
        <f>IF(AND(12*años+gracia-B185&gt;0,$L$2&lt;&gt;1),K185*F186,0)</f>
        <v>9.5505993612703133</v>
      </c>
      <c r="I186" s="31">
        <f>IF(AND(12*años+gracia-B185&gt;0,$L$2&lt;&gt;1),G186-H186,0)</f>
        <v>9.6181211231449115</v>
      </c>
      <c r="J186" s="62"/>
      <c r="K186" s="61">
        <f t="shared" si="33"/>
        <v>2907.718013288656</v>
      </c>
      <c r="L186" s="61">
        <f>L185*(1+$J$17)^(1/12)</f>
        <v>6511.4516872582972</v>
      </c>
      <c r="M186" s="31">
        <f t="shared" si="34"/>
        <v>12</v>
      </c>
      <c r="N186" s="31">
        <f t="shared" si="35"/>
        <v>0</v>
      </c>
      <c r="O186" s="31">
        <f t="shared" si="36"/>
        <v>-2.25</v>
      </c>
      <c r="P186" s="62"/>
      <c r="Q186" s="31">
        <f t="shared" si="29"/>
        <v>-9.4187204844152248</v>
      </c>
      <c r="R186" s="31">
        <f>SUM($Q$36:Q186)</f>
        <v>-2008.2080726622785</v>
      </c>
      <c r="S186" s="83">
        <f>IF($L$2&lt;&gt;1,-(R186-$R$36)/B186*12/$Q$36,0)</f>
        <v>-0.18982977126802533</v>
      </c>
      <c r="T186" s="31">
        <f>SUMPRODUCT($Q$36:Q186,$E$36:E186)/E186-R186</f>
        <v>-999.356676080125</v>
      </c>
      <c r="U186" s="31">
        <f t="shared" si="30"/>
        <v>1595.5256013073631</v>
      </c>
      <c r="V186" s="31">
        <f t="shared" si="31"/>
        <v>2190.9256013073632</v>
      </c>
      <c r="W186" s="80" cm="1">
        <f t="array" ref="W186">IF($L$2&lt;&gt;1,IRR(IF(ROW($Q$36:Q186)=ROW(Q186),Q186+L186-K186,$Q$36:Q186),W185/12)*12,0)</f>
        <v>6.7899654895564154E-2</v>
      </c>
      <c r="X186" s="83">
        <f>(1+W186/12)^(B186)-1</f>
        <v>1.3311308077477459</v>
      </c>
    </row>
    <row r="187" spans="2:24" x14ac:dyDescent="0.25">
      <c r="B187" s="33">
        <v>151</v>
      </c>
      <c r="C187" s="81">
        <f t="shared" si="27"/>
        <v>12.583333333333334</v>
      </c>
      <c r="D187" s="105">
        <f t="shared" si="28"/>
        <v>3.9789301544717048E-3</v>
      </c>
      <c r="E187" s="106">
        <f t="shared" si="32"/>
        <v>0.54901676134320498</v>
      </c>
      <c r="F187" s="60">
        <f>rate</f>
        <v>3.2737397821989145E-3</v>
      </c>
      <c r="G187" s="31">
        <f>IF(AND(B186&gt;=gracia,12*años+gracia-B186&gt;0,$L$2&lt;&gt;1),PMT(F186,12*años-B186+gracia,-K186),0)</f>
        <v>19.168720484415225</v>
      </c>
      <c r="H187" s="31">
        <f>IF(AND(12*años+gracia-B186&gt;0,$L$2&lt;&gt;1),K186*F187,0)</f>
        <v>9.5191121355194657</v>
      </c>
      <c r="I187" s="31">
        <f>IF(AND(12*años+gracia-B186&gt;0,$L$2&lt;&gt;1),G187-H187,0)</f>
        <v>9.6496083488957591</v>
      </c>
      <c r="J187" s="62"/>
      <c r="K187" s="61">
        <f t="shared" si="33"/>
        <v>2898.0684049397601</v>
      </c>
      <c r="L187" s="61">
        <f>L186*(1+$J$17)^(1/12)</f>
        <v>6527.5106837283984</v>
      </c>
      <c r="M187" s="31">
        <f t="shared" si="34"/>
        <v>12</v>
      </c>
      <c r="N187" s="31">
        <f t="shared" si="35"/>
        <v>0</v>
      </c>
      <c r="O187" s="31">
        <f t="shared" si="36"/>
        <v>-2.25</v>
      </c>
      <c r="P187" s="62"/>
      <c r="Q187" s="31">
        <f t="shared" si="29"/>
        <v>-9.4187204844152248</v>
      </c>
      <c r="R187" s="31">
        <f>SUM($Q$36:Q187)</f>
        <v>-2017.6267931466937</v>
      </c>
      <c r="S187" s="83">
        <f>IF($L$2&lt;&gt;1,-(R187-$R$36)/B187*12/$Q$36,0)</f>
        <v>-0.18982977126802533</v>
      </c>
      <c r="T187" s="31">
        <f>SUMPRODUCT($Q$36:Q187,$E$36:E187)/E187-R187</f>
        <v>-1011.3235661504227</v>
      </c>
      <c r="U187" s="31">
        <f t="shared" si="30"/>
        <v>1611.8154856419442</v>
      </c>
      <c r="V187" s="31">
        <f t="shared" si="31"/>
        <v>2207.2154856419443</v>
      </c>
      <c r="W187" s="80" cm="1">
        <f t="array" ref="W187">IF($L$2&lt;&gt;1,IRR(IF(ROW($Q$36:Q187)=ROW(Q187),Q187+L187-K187,$Q$36:Q187),W186/12)*12,0)</f>
        <v>6.7776551421115272E-2</v>
      </c>
      <c r="X187" s="83">
        <f>(1+W187/12)^(B187)-1</f>
        <v>1.3407127741898428</v>
      </c>
    </row>
    <row r="188" spans="2:24" x14ac:dyDescent="0.25">
      <c r="B188" s="33">
        <v>152</v>
      </c>
      <c r="C188" s="81">
        <f t="shared" si="27"/>
        <v>12.666666666666666</v>
      </c>
      <c r="D188" s="105">
        <f t="shared" si="28"/>
        <v>3.9789301544717048E-3</v>
      </c>
      <c r="E188" s="106">
        <f t="shared" si="32"/>
        <v>0.54684091951883251</v>
      </c>
      <c r="F188" s="60">
        <f>rate</f>
        <v>3.2737397821989145E-3</v>
      </c>
      <c r="G188" s="31">
        <f>IF(AND(B187&gt;=gracia,12*años+gracia-B187&gt;0,$L$2&lt;&gt;1),PMT(F187,12*años-B187+gracia,-K187),0)</f>
        <v>19.168720484415221</v>
      </c>
      <c r="H188" s="31">
        <f>IF(AND(12*años+gracia-B187&gt;0,$L$2&lt;&gt;1),K187*F188,0)</f>
        <v>9.4875218287850451</v>
      </c>
      <c r="I188" s="31">
        <f>IF(AND(12*años+gracia-B187&gt;0,$L$2&lt;&gt;1),G188-H188,0)</f>
        <v>9.6811986556301761</v>
      </c>
      <c r="J188" s="62"/>
      <c r="K188" s="61">
        <f t="shared" si="33"/>
        <v>2888.3872062841297</v>
      </c>
      <c r="L188" s="61">
        <f>L187*(1+$J$17)^(1/12)</f>
        <v>6543.609286016067</v>
      </c>
      <c r="M188" s="31">
        <f t="shared" si="34"/>
        <v>12</v>
      </c>
      <c r="N188" s="31">
        <f t="shared" si="35"/>
        <v>0</v>
      </c>
      <c r="O188" s="31">
        <f t="shared" si="36"/>
        <v>-2.25</v>
      </c>
      <c r="P188" s="62"/>
      <c r="Q188" s="31">
        <f t="shared" si="29"/>
        <v>-9.4187204844152213</v>
      </c>
      <c r="R188" s="31">
        <f>SUM($Q$36:Q188)</f>
        <v>-2027.0455136311089</v>
      </c>
      <c r="S188" s="83">
        <f>IF($L$2&lt;&gt;1,-(R188-$R$36)/B188*12/$Q$36,0)</f>
        <v>-0.18982977126802533</v>
      </c>
      <c r="T188" s="31">
        <f>SUMPRODUCT($Q$36:Q188,$E$36:E188)/E188-R188</f>
        <v>-1023.3755480714276</v>
      </c>
      <c r="U188" s="31">
        <f t="shared" si="30"/>
        <v>1628.1765661008285</v>
      </c>
      <c r="V188" s="31">
        <f t="shared" si="31"/>
        <v>2223.5765661008286</v>
      </c>
      <c r="W188" s="80" cm="1">
        <f t="array" ref="W188">IF($L$2&lt;&gt;1,IRR(IF(ROW($Q$36:Q188)=ROW(Q188),Q188+L188-K188,$Q$36:Q188),W187/12)*12,0)</f>
        <v>6.7653978229377465E-2</v>
      </c>
      <c r="X188" s="83">
        <f>(1+W188/12)^(B188)-1</f>
        <v>1.3503018369301705</v>
      </c>
    </row>
    <row r="189" spans="2:24" x14ac:dyDescent="0.25">
      <c r="B189" s="33">
        <v>153</v>
      </c>
      <c r="C189" s="81">
        <f t="shared" si="27"/>
        <v>12.75</v>
      </c>
      <c r="D189" s="105">
        <f t="shared" si="28"/>
        <v>3.9789301544717048E-3</v>
      </c>
      <c r="E189" s="106">
        <f t="shared" si="32"/>
        <v>0.54467370090595013</v>
      </c>
      <c r="F189" s="60">
        <f>rate</f>
        <v>3.2737397821989145E-3</v>
      </c>
      <c r="G189" s="31">
        <f>IF(AND(B188&gt;=gracia,12*años+gracia-B188&gt;0,$L$2&lt;&gt;1),PMT(F188,12*años-B188+gracia,-K188),0)</f>
        <v>19.168720484415221</v>
      </c>
      <c r="H189" s="31">
        <f>IF(AND(12*años+gracia-B188&gt;0,$L$2&lt;&gt;1),K188*F189,0)</f>
        <v>9.4558281036067378</v>
      </c>
      <c r="I189" s="31">
        <f>IF(AND(12*años+gracia-B188&gt;0,$L$2&lt;&gt;1),G189-H189,0)</f>
        <v>9.7128923808084835</v>
      </c>
      <c r="J189" s="62"/>
      <c r="K189" s="61">
        <f t="shared" si="33"/>
        <v>2878.674313903321</v>
      </c>
      <c r="L189" s="61">
        <f>L188*(1+$J$17)^(1/12)</f>
        <v>6559.7475917999345</v>
      </c>
      <c r="M189" s="31">
        <f t="shared" si="34"/>
        <v>12</v>
      </c>
      <c r="N189" s="31">
        <f t="shared" si="35"/>
        <v>0</v>
      </c>
      <c r="O189" s="31">
        <f t="shared" si="36"/>
        <v>-2.25</v>
      </c>
      <c r="P189" s="62"/>
      <c r="Q189" s="31">
        <f t="shared" si="29"/>
        <v>-9.4187204844152213</v>
      </c>
      <c r="R189" s="31">
        <f>SUM($Q$36:Q189)</f>
        <v>-2036.4642341155241</v>
      </c>
      <c r="S189" s="83">
        <f>IF($L$2&lt;&gt;1,-(R189-$R$36)/B189*12/$Q$36,0)</f>
        <v>-0.18982977126802533</v>
      </c>
      <c r="T189" s="31">
        <f>SUMPRODUCT($Q$36:Q189,$E$36:E189)/E189-R189</f>
        <v>-1035.5129604176714</v>
      </c>
      <c r="U189" s="31">
        <f t="shared" si="30"/>
        <v>1644.609043781089</v>
      </c>
      <c r="V189" s="31">
        <f t="shared" si="31"/>
        <v>2240.0090437810891</v>
      </c>
      <c r="W189" s="80" cm="1">
        <f t="array" ref="W189">IF($L$2&lt;&gt;1,IRR(IF(ROW($Q$36:Q189)=ROW(Q189),Q189+L189-K189,$Q$36:Q189),W188/12)*12,0)</f>
        <v>6.7531939327881041E-2</v>
      </c>
      <c r="X189" s="83">
        <f>(1+W189/12)^(B189)-1</f>
        <v>1.3598981917756139</v>
      </c>
    </row>
    <row r="190" spans="2:24" x14ac:dyDescent="0.25">
      <c r="B190" s="33">
        <v>154</v>
      </c>
      <c r="C190" s="81">
        <f t="shared" si="27"/>
        <v>12.833333333333334</v>
      </c>
      <c r="D190" s="105">
        <f t="shared" si="28"/>
        <v>3.9789301544717048E-3</v>
      </c>
      <c r="E190" s="106">
        <f t="shared" si="32"/>
        <v>0.54251507132938226</v>
      </c>
      <c r="F190" s="60">
        <f>rate</f>
        <v>3.2737397821989145E-3</v>
      </c>
      <c r="G190" s="31">
        <f>IF(AND(B189&gt;=gracia,12*años+gracia-B189&gt;0,$L$2&lt;&gt;1),PMT(F189,12*años-B189+gracia,-K189),0)</f>
        <v>19.168720484415218</v>
      </c>
      <c r="H190" s="31">
        <f>IF(AND(12*años+gracia-B189&gt;0,$L$2&lt;&gt;1),K189*F190,0)</f>
        <v>9.4240306214194671</v>
      </c>
      <c r="I190" s="31">
        <f>IF(AND(12*años+gracia-B189&gt;0,$L$2&lt;&gt;1),G190-H190,0)</f>
        <v>9.7446898629957506</v>
      </c>
      <c r="J190" s="62"/>
      <c r="K190" s="61">
        <f t="shared" si="33"/>
        <v>2868.9296240403255</v>
      </c>
      <c r="L190" s="61">
        <f>L189*(1+$J$17)^(1/12)</f>
        <v>6575.9256989995329</v>
      </c>
      <c r="M190" s="31">
        <f t="shared" si="34"/>
        <v>12</v>
      </c>
      <c r="N190" s="31">
        <f t="shared" si="35"/>
        <v>0</v>
      </c>
      <c r="O190" s="31">
        <f t="shared" si="36"/>
        <v>-2.25</v>
      </c>
      <c r="P190" s="62"/>
      <c r="Q190" s="31">
        <f t="shared" si="29"/>
        <v>-9.4187204844152177</v>
      </c>
      <c r="R190" s="31">
        <f>SUM($Q$36:Q190)</f>
        <v>-2045.8829545999392</v>
      </c>
      <c r="S190" s="83">
        <f>IF($L$2&lt;&gt;1,-(R190-$R$36)/B190*12/$Q$36,0)</f>
        <v>-0.18982977126802533</v>
      </c>
      <c r="T190" s="31">
        <f>SUMPRODUCT($Q$36:Q190,$E$36:E190)/E190-R190</f>
        <v>-1047.7361431108493</v>
      </c>
      <c r="U190" s="31">
        <f t="shared" si="30"/>
        <v>1661.1131203592677</v>
      </c>
      <c r="V190" s="31">
        <f t="shared" si="31"/>
        <v>2256.5131203592678</v>
      </c>
      <c r="W190" s="80" cm="1">
        <f t="array" ref="W190">IF($L$2&lt;&gt;1,IRR(IF(ROW($Q$36:Q190)=ROW(Q190),Q190+L190-K190,$Q$36:Q190),W189/12)*12,0)</f>
        <v>6.7410438367500269E-2</v>
      </c>
      <c r="X190" s="83">
        <f>(1+W190/12)^(B190)-1</f>
        <v>1.3695020326785641</v>
      </c>
    </row>
    <row r="191" spans="2:24" x14ac:dyDescent="0.25">
      <c r="B191" s="33">
        <v>155</v>
      </c>
      <c r="C191" s="81">
        <f t="shared" si="27"/>
        <v>12.916666666666666</v>
      </c>
      <c r="D191" s="105">
        <f t="shared" si="28"/>
        <v>3.9789301544717048E-3</v>
      </c>
      <c r="E191" s="106">
        <f t="shared" si="32"/>
        <v>0.54036499674939509</v>
      </c>
      <c r="F191" s="60">
        <f>rate</f>
        <v>3.2737397821989145E-3</v>
      </c>
      <c r="G191" s="31">
        <f>IF(AND(B190&gt;=gracia,12*años+gracia-B190&gt;0,$L$2&lt;&gt;1),PMT(F190,12*años-B190+gracia,-K190),0)</f>
        <v>19.168720484415225</v>
      </c>
      <c r="H191" s="31">
        <f>IF(AND(12*años+gracia-B190&gt;0,$L$2&lt;&gt;1),K190*F191,0)</f>
        <v>9.3921290425497883</v>
      </c>
      <c r="I191" s="31">
        <f>IF(AND(12*años+gracia-B190&gt;0,$L$2&lt;&gt;1),G191-H191,0)</f>
        <v>9.7765914418654365</v>
      </c>
      <c r="J191" s="62"/>
      <c r="K191" s="61">
        <f t="shared" si="33"/>
        <v>2859.15303259846</v>
      </c>
      <c r="L191" s="61">
        <f>L190*(1+$J$17)^(1/12)</f>
        <v>6592.1437057758903</v>
      </c>
      <c r="M191" s="31">
        <f t="shared" si="34"/>
        <v>12</v>
      </c>
      <c r="N191" s="31">
        <f t="shared" si="35"/>
        <v>0</v>
      </c>
      <c r="O191" s="31">
        <f t="shared" si="36"/>
        <v>-2.25</v>
      </c>
      <c r="P191" s="62"/>
      <c r="Q191" s="31">
        <f t="shared" si="29"/>
        <v>-9.4187204844152248</v>
      </c>
      <c r="R191" s="31">
        <f>SUM($Q$36:Q191)</f>
        <v>-2055.3016750843544</v>
      </c>
      <c r="S191" s="83">
        <f>IF($L$2&lt;&gt;1,-(R191-$R$36)/B191*12/$Q$36,0)</f>
        <v>-0.18982977126802533</v>
      </c>
      <c r="T191" s="31">
        <f>SUMPRODUCT($Q$36:Q191,$E$36:E191)/E191-R191</f>
        <v>-1060.0454374251799</v>
      </c>
      <c r="U191" s="31">
        <f t="shared" si="30"/>
        <v>1677.6889980930755</v>
      </c>
      <c r="V191" s="31">
        <f t="shared" si="31"/>
        <v>2273.0889980930756</v>
      </c>
      <c r="W191" s="80" cm="1">
        <f t="array" ref="W191">IF($L$2&lt;&gt;1,IRR(IF(ROW($Q$36:Q191)=ROW(Q191),Q191+L191-K191,$Q$36:Q191),W190/12)*12,0)</f>
        <v>6.7289478659628976E-2</v>
      </c>
      <c r="X191" s="83">
        <f>(1+W191/12)^(B191)-1</f>
        <v>1.3791135517758955</v>
      </c>
    </row>
    <row r="192" spans="2:24" x14ac:dyDescent="0.25">
      <c r="B192" s="33">
        <v>156</v>
      </c>
      <c r="C192" s="81">
        <f t="shared" si="27"/>
        <v>13</v>
      </c>
      <c r="D192" s="105">
        <f t="shared" si="28"/>
        <v>3.9789301544717048E-3</v>
      </c>
      <c r="E192" s="106">
        <f t="shared" si="32"/>
        <v>0.53822344326115967</v>
      </c>
      <c r="F192" s="60">
        <f>rate</f>
        <v>3.2737397821989145E-3</v>
      </c>
      <c r="G192" s="31">
        <f>IF(AND(B191&gt;=gracia,12*años+gracia-B191&gt;0,$L$2&lt;&gt;1),PMT(F191,12*años-B191+gracia,-K191),0)</f>
        <v>19.168720484415221</v>
      </c>
      <c r="H192" s="31">
        <f>IF(AND(12*años+gracia-B191&gt;0,$L$2&lt;&gt;1),K191*F192,0)</f>
        <v>9.3601230262122481</v>
      </c>
      <c r="I192" s="31">
        <f>IF(AND(12*años+gracia-B191&gt;0,$L$2&lt;&gt;1),G192-H192,0)</f>
        <v>9.8085974582029731</v>
      </c>
      <c r="J192" s="62"/>
      <c r="K192" s="61">
        <f t="shared" si="33"/>
        <v>2849.3444351402568</v>
      </c>
      <c r="L192" s="61">
        <f>L191*(1+$J$17)^(1/12)</f>
        <v>6608.4017105321273</v>
      </c>
      <c r="M192" s="31">
        <f t="shared" si="34"/>
        <v>12</v>
      </c>
      <c r="N192" s="31">
        <f t="shared" si="35"/>
        <v>0</v>
      </c>
      <c r="O192" s="31">
        <f t="shared" si="36"/>
        <v>-2.25</v>
      </c>
      <c r="P192" s="62"/>
      <c r="Q192" s="31">
        <f t="shared" si="29"/>
        <v>-9.4187204844152213</v>
      </c>
      <c r="R192" s="31">
        <f>SUM($Q$36:Q192)</f>
        <v>-2064.7203955687696</v>
      </c>
      <c r="S192" s="83">
        <f>IF($L$2&lt;&gt;1,-(R192-$R$36)/B192*12/$Q$36,0)</f>
        <v>-0.18982977126802533</v>
      </c>
      <c r="T192" s="31">
        <f>SUMPRODUCT($Q$36:Q192,$E$36:E192)/E192-R192</f>
        <v>-1072.4411859927909</v>
      </c>
      <c r="U192" s="31">
        <f t="shared" si="30"/>
        <v>1694.3368798231004</v>
      </c>
      <c r="V192" s="31">
        <f t="shared" si="31"/>
        <v>2289.7368798231005</v>
      </c>
      <c r="W192" s="80" cm="1">
        <f t="array" ref="W192">IF($L$2&lt;&gt;1,IRR(IF(ROW($Q$36:Q192)=ROW(Q192),Q192+L192-K192,$Q$36:Q192),W191/12)*12,0)</f>
        <v>6.7169063192471512E-2</v>
      </c>
      <c r="X192" s="83">
        <f>(1+W192/12)^(B192)-1</f>
        <v>1.388732939424794</v>
      </c>
    </row>
    <row r="193" spans="2:24" x14ac:dyDescent="0.25">
      <c r="B193" s="33">
        <v>157</v>
      </c>
      <c r="C193" s="81">
        <f t="shared" si="27"/>
        <v>13.083333333333334</v>
      </c>
      <c r="D193" s="105">
        <f t="shared" si="28"/>
        <v>3.9789301544717048E-3</v>
      </c>
      <c r="E193" s="106">
        <f t="shared" si="32"/>
        <v>0.53609037709421736</v>
      </c>
      <c r="F193" s="60">
        <f>rate</f>
        <v>3.2737397821989145E-3</v>
      </c>
      <c r="G193" s="31">
        <f>IF(AND(B192&gt;=gracia,12*años+gracia-B192&gt;0,$L$2&lt;&gt;1),PMT(F192,12*años-B192+gracia,-K192),0)</f>
        <v>19.168720484415221</v>
      </c>
      <c r="H193" s="31">
        <f>IF(AND(12*años+gracia-B192&gt;0,$L$2&lt;&gt;1),K192*F193,0)</f>
        <v>9.3280122305057525</v>
      </c>
      <c r="I193" s="31">
        <f>IF(AND(12*años+gracia-B192&gt;0,$L$2&lt;&gt;1),G193-H193,0)</f>
        <v>9.8407082539094688</v>
      </c>
      <c r="J193" s="62"/>
      <c r="K193" s="61">
        <f t="shared" si="33"/>
        <v>2839.5037268863475</v>
      </c>
      <c r="L193" s="61">
        <f>L192*(1+$J$17)^(1/12)</f>
        <v>6624.6998119140526</v>
      </c>
      <c r="M193" s="31">
        <f t="shared" si="34"/>
        <v>12</v>
      </c>
      <c r="N193" s="31">
        <f t="shared" si="35"/>
        <v>0</v>
      </c>
      <c r="O193" s="31">
        <f t="shared" si="36"/>
        <v>-2.25</v>
      </c>
      <c r="P193" s="62"/>
      <c r="Q193" s="31">
        <f t="shared" si="29"/>
        <v>-9.4187204844152213</v>
      </c>
      <c r="R193" s="31">
        <f>SUM($Q$36:Q193)</f>
        <v>-2074.1391160531848</v>
      </c>
      <c r="S193" s="83">
        <f>IF($L$2&lt;&gt;1,-(R193-$R$36)/B193*12/$Q$36,0)</f>
        <v>-0.18982977126802533</v>
      </c>
      <c r="T193" s="31">
        <f>SUMPRODUCT($Q$36:Q193,$E$36:E193)/E193-R193</f>
        <v>-1084.9237328091162</v>
      </c>
      <c r="U193" s="31">
        <f t="shared" si="30"/>
        <v>1711.0569689745198</v>
      </c>
      <c r="V193" s="31">
        <f t="shared" si="31"/>
        <v>2306.4569689745199</v>
      </c>
      <c r="W193" s="80" cm="1">
        <f t="array" ref="W193">IF($L$2&lt;&gt;1,IRR(IF(ROW($Q$36:Q193)=ROW(Q193),Q193+L193-K193,$Q$36:Q193),W192/12)*12,0)</f>
        <v>6.7049194646598309E-2</v>
      </c>
      <c r="X193" s="83">
        <f>(1+W193/12)^(B193)-1</f>
        <v>1.3983603842390151</v>
      </c>
    </row>
    <row r="194" spans="2:24" x14ac:dyDescent="0.25">
      <c r="B194" s="33">
        <v>158</v>
      </c>
      <c r="C194" s="81">
        <f t="shared" si="27"/>
        <v>13.166666666666666</v>
      </c>
      <c r="D194" s="105">
        <f t="shared" si="28"/>
        <v>3.9789301544717048E-3</v>
      </c>
      <c r="E194" s="106">
        <f t="shared" si="32"/>
        <v>0.53396576461194734</v>
      </c>
      <c r="F194" s="60">
        <f>rate</f>
        <v>3.2737397821989145E-3</v>
      </c>
      <c r="G194" s="31">
        <f>IF(AND(B193&gt;=gracia,12*años+gracia-B193&gt;0,$L$2&lt;&gt;1),PMT(F193,12*años-B193+gracia,-K193),0)</f>
        <v>19.168720484415221</v>
      </c>
      <c r="H194" s="31">
        <f>IF(AND(12*años+gracia-B193&gt;0,$L$2&lt;&gt;1),K193*F194,0)</f>
        <v>9.2957963124099177</v>
      </c>
      <c r="I194" s="31">
        <f>IF(AND(12*años+gracia-B193&gt;0,$L$2&lt;&gt;1),G194-H194,0)</f>
        <v>9.8729241720053036</v>
      </c>
      <c r="J194" s="62"/>
      <c r="K194" s="61">
        <f t="shared" si="33"/>
        <v>2829.6308027143423</v>
      </c>
      <c r="L194" s="61">
        <f>L193*(1+$J$17)^(1/12)</f>
        <v>6641.0381088107624</v>
      </c>
      <c r="M194" s="31">
        <f t="shared" si="34"/>
        <v>12</v>
      </c>
      <c r="N194" s="31">
        <f t="shared" si="35"/>
        <v>0</v>
      </c>
      <c r="O194" s="31">
        <f t="shared" si="36"/>
        <v>-2.25</v>
      </c>
      <c r="P194" s="62"/>
      <c r="Q194" s="31">
        <f t="shared" si="29"/>
        <v>-9.4187204844152213</v>
      </c>
      <c r="R194" s="31">
        <f>SUM($Q$36:Q194)</f>
        <v>-2083.5578365376</v>
      </c>
      <c r="S194" s="83">
        <f>IF($L$2&lt;&gt;1,-(R194-$R$36)/B194*12/$Q$36,0)</f>
        <v>-0.18982977126802533</v>
      </c>
      <c r="T194" s="31">
        <f>SUMPRODUCT($Q$36:Q194,$E$36:E194)/E194-R194</f>
        <v>-1097.4934232383257</v>
      </c>
      <c r="U194" s="31">
        <f t="shared" si="30"/>
        <v>1727.8494695588197</v>
      </c>
      <c r="V194" s="31">
        <f t="shared" si="31"/>
        <v>2323.2494695588198</v>
      </c>
      <c r="W194" s="80" cm="1">
        <f t="array" ref="W194">IF($L$2&lt;&gt;1,IRR(IF(ROW($Q$36:Q194)=ROW(Q194),Q194+L194-K194,$Q$36:Q194),W193/12)*12,0)</f>
        <v>6.6929875409790007E-2</v>
      </c>
      <c r="X194" s="83">
        <f>(1+W194/12)^(B194)-1</f>
        <v>1.4079960731250316</v>
      </c>
    </row>
    <row r="195" spans="2:24" x14ac:dyDescent="0.25">
      <c r="B195" s="33">
        <v>159</v>
      </c>
      <c r="C195" s="81">
        <f t="shared" si="27"/>
        <v>13.25</v>
      </c>
      <c r="D195" s="105">
        <f t="shared" si="28"/>
        <v>3.9789301544717048E-3</v>
      </c>
      <c r="E195" s="106">
        <f t="shared" si="32"/>
        <v>0.53184957231103602</v>
      </c>
      <c r="F195" s="60">
        <f>rate</f>
        <v>3.2737397821989145E-3</v>
      </c>
      <c r="G195" s="31">
        <f>IF(AND(B194&gt;=gracia,12*años+gracia-B194&gt;0,$L$2&lt;&gt;1),PMT(F194,12*años-B194+gracia,-K194),0)</f>
        <v>19.168720484415218</v>
      </c>
      <c r="H195" s="31">
        <f>IF(AND(12*años+gracia-B194&gt;0,$L$2&lt;&gt;1),K194*F195,0)</f>
        <v>9.2634749277813899</v>
      </c>
      <c r="I195" s="31">
        <f>IF(AND(12*años+gracia-B194&gt;0,$L$2&lt;&gt;1),G195-H195,0)</f>
        <v>9.9052455566338278</v>
      </c>
      <c r="J195" s="62"/>
      <c r="K195" s="61">
        <f t="shared" si="33"/>
        <v>2819.7255571577084</v>
      </c>
      <c r="L195" s="61">
        <f>L194*(1+$J$17)^(1/12)</f>
        <v>6657.4167003552393</v>
      </c>
      <c r="M195" s="31">
        <f t="shared" si="34"/>
        <v>12</v>
      </c>
      <c r="N195" s="31">
        <f t="shared" si="35"/>
        <v>0</v>
      </c>
      <c r="O195" s="31">
        <f t="shared" si="36"/>
        <v>-2.25</v>
      </c>
      <c r="P195" s="62"/>
      <c r="Q195" s="31">
        <f t="shared" si="29"/>
        <v>-9.4187204844152177</v>
      </c>
      <c r="R195" s="31">
        <f>SUM($Q$36:Q195)</f>
        <v>-2092.9765570220152</v>
      </c>
      <c r="S195" s="83">
        <f>IF($L$2&lt;&gt;1,-(R195-$R$36)/B195*12/$Q$36,0)</f>
        <v>-0.18982977126802533</v>
      </c>
      <c r="T195" s="31">
        <f>SUMPRODUCT($Q$36:Q195,$E$36:E195)/E195-R195</f>
        <v>-1110.1506040187692</v>
      </c>
      <c r="U195" s="31">
        <f t="shared" si="30"/>
        <v>1744.7145861755162</v>
      </c>
      <c r="V195" s="31">
        <f t="shared" si="31"/>
        <v>2340.1145861755163</v>
      </c>
      <c r="W195" s="80" cm="1">
        <f t="array" ref="W195">IF($L$2&lt;&gt;1,IRR(IF(ROW($Q$36:Q195)=ROW(Q195),Q195+L195-K195,$Q$36:Q195),W194/12)*12,0)</f>
        <v>6.6811107591132846E-2</v>
      </c>
      <c r="X195" s="83">
        <f>(1+W195/12)^(B195)-1</f>
        <v>1.4176401913152326</v>
      </c>
    </row>
    <row r="196" spans="2:24" x14ac:dyDescent="0.25">
      <c r="B196" s="33">
        <v>160</v>
      </c>
      <c r="C196" s="81">
        <f t="shared" si="27"/>
        <v>13.333333333333334</v>
      </c>
      <c r="D196" s="105">
        <f t="shared" si="28"/>
        <v>3.9789301544717048E-3</v>
      </c>
      <c r="E196" s="106">
        <f t="shared" si="32"/>
        <v>0.52974176682094898</v>
      </c>
      <c r="F196" s="60">
        <f>rate</f>
        <v>3.2737397821989145E-3</v>
      </c>
      <c r="G196" s="31">
        <f>IF(AND(B195&gt;=gracia,12*años+gracia-B195&gt;0,$L$2&lt;&gt;1),PMT(F195,12*años-B195+gracia,-K195),0)</f>
        <v>19.168720484415221</v>
      </c>
      <c r="H196" s="31">
        <f>IF(AND(12*años+gracia-B195&gt;0,$L$2&lt;&gt;1),K195*F196,0)</f>
        <v>9.2310477313501895</v>
      </c>
      <c r="I196" s="31">
        <f>IF(AND(12*años+gracia-B195&gt;0,$L$2&lt;&gt;1),G196-H196,0)</f>
        <v>9.9376727530650317</v>
      </c>
      <c r="J196" s="62"/>
      <c r="K196" s="61">
        <f t="shared" si="33"/>
        <v>2809.7878844046436</v>
      </c>
      <c r="L196" s="61">
        <f>L195*(1+$J$17)^(1/12)</f>
        <v>6673.8356859249552</v>
      </c>
      <c r="M196" s="31">
        <f t="shared" si="34"/>
        <v>12</v>
      </c>
      <c r="N196" s="31">
        <f t="shared" si="35"/>
        <v>0</v>
      </c>
      <c r="O196" s="31">
        <f t="shared" si="36"/>
        <v>-2.25</v>
      </c>
      <c r="P196" s="62"/>
      <c r="Q196" s="31">
        <f t="shared" si="29"/>
        <v>-9.4187204844152213</v>
      </c>
      <c r="R196" s="31">
        <f>SUM($Q$36:Q196)</f>
        <v>-2102.3952775064304</v>
      </c>
      <c r="S196" s="83">
        <f>IF($L$2&lt;&gt;1,-(R196-$R$36)/B196*12/$Q$36,0)</f>
        <v>-0.18982977126802533</v>
      </c>
      <c r="T196" s="31">
        <f>SUMPRODUCT($Q$36:Q196,$E$36:E196)/E196-R196</f>
        <v>-1122.8956232684418</v>
      </c>
      <c r="U196" s="31">
        <f t="shared" si="30"/>
        <v>1761.6525240138808</v>
      </c>
      <c r="V196" s="31">
        <f t="shared" si="31"/>
        <v>2357.0525240138809</v>
      </c>
      <c r="W196" s="80" cm="1">
        <f t="array" ref="W196">IF($L$2&lt;&gt;1,IRR(IF(ROW($Q$36:Q196)=ROW(Q196),Q196+L196-K196,$Q$36:Q196),W195/12)*12,0)</f>
        <v>6.669289303450654E-2</v>
      </c>
      <c r="X196" s="83">
        <f>(1+W196/12)^(B196)-1</f>
        <v>1.4272929224028625</v>
      </c>
    </row>
    <row r="197" spans="2:24" x14ac:dyDescent="0.25">
      <c r="B197" s="33">
        <v>161</v>
      </c>
      <c r="C197" s="81">
        <f t="shared" si="27"/>
        <v>13.416666666666666</v>
      </c>
      <c r="D197" s="105">
        <f t="shared" si="28"/>
        <v>3.9789301544717048E-3</v>
      </c>
      <c r="E197" s="106">
        <f t="shared" si="32"/>
        <v>0.52764231490340452</v>
      </c>
      <c r="F197" s="60">
        <f>rate</f>
        <v>3.2737397821989145E-3</v>
      </c>
      <c r="G197" s="31">
        <f>IF(AND(B196&gt;=gracia,12*años+gracia-B196&gt;0,$L$2&lt;&gt;1),PMT(F196,12*años-B196+gracia,-K196),0)</f>
        <v>19.168720484415221</v>
      </c>
      <c r="H197" s="31">
        <f>IF(AND(12*años+gracia-B196&gt;0,$L$2&lt;&gt;1),K196*F197,0)</f>
        <v>9.1985143767160071</v>
      </c>
      <c r="I197" s="31">
        <f>IF(AND(12*años+gracia-B196&gt;0,$L$2&lt;&gt;1),G197-H197,0)</f>
        <v>9.9702061076992141</v>
      </c>
      <c r="J197" s="62"/>
      <c r="K197" s="61">
        <f t="shared" si="33"/>
        <v>2799.8176782969445</v>
      </c>
      <c r="L197" s="61">
        <f>L196*(1+$J$17)^(1/12)</f>
        <v>6690.2951651424737</v>
      </c>
      <c r="M197" s="31">
        <f t="shared" si="34"/>
        <v>12</v>
      </c>
      <c r="N197" s="31">
        <f t="shared" si="35"/>
        <v>0</v>
      </c>
      <c r="O197" s="31">
        <f t="shared" si="36"/>
        <v>-2.25</v>
      </c>
      <c r="P197" s="62"/>
      <c r="Q197" s="31">
        <f t="shared" si="29"/>
        <v>-9.4187204844152213</v>
      </c>
      <c r="R197" s="31">
        <f>SUM($Q$36:Q197)</f>
        <v>-2111.8139979908456</v>
      </c>
      <c r="S197" s="83">
        <f>IF($L$2&lt;&gt;1,-(R197-$R$36)/B197*12/$Q$36,0)</f>
        <v>-0.18982977126802533</v>
      </c>
      <c r="T197" s="31">
        <f>SUMPRODUCT($Q$36:Q197,$E$36:E197)/E197-R197</f>
        <v>-1135.7288304904787</v>
      </c>
      <c r="U197" s="31">
        <f t="shared" si="30"/>
        <v>1778.6634888546832</v>
      </c>
      <c r="V197" s="31">
        <f t="shared" si="31"/>
        <v>2374.0634888546833</v>
      </c>
      <c r="W197" s="80" cm="1">
        <f t="array" ref="W197">IF($L$2&lt;&gt;1,IRR(IF(ROW($Q$36:Q197)=ROW(Q197),Q197+L197-K197,$Q$36:Q197),W196/12)*12,0)</f>
        <v>6.6575233331416683E-2</v>
      </c>
      <c r="X197" s="83">
        <f>(1+W197/12)^(B197)-1</f>
        <v>1.4369544483744212</v>
      </c>
    </row>
    <row r="198" spans="2:24" x14ac:dyDescent="0.25">
      <c r="B198" s="33">
        <v>162</v>
      </c>
      <c r="C198" s="81">
        <f t="shared" si="27"/>
        <v>13.5</v>
      </c>
      <c r="D198" s="105">
        <f t="shared" si="28"/>
        <v>3.9789301544717048E-3</v>
      </c>
      <c r="E198" s="106">
        <f t="shared" si="32"/>
        <v>0.5255511834518497</v>
      </c>
      <c r="F198" s="60">
        <f>rate</f>
        <v>3.2737397821989145E-3</v>
      </c>
      <c r="G198" s="31">
        <f>IF(AND(B197&gt;=gracia,12*años+gracia-B197&gt;0,$L$2&lt;&gt;1),PMT(F197,12*años-B197+gracia,-K197),0)</f>
        <v>19.168720484415225</v>
      </c>
      <c r="H198" s="31">
        <f>IF(AND(12*años+gracia-B197&gt;0,$L$2&lt;&gt;1),K197*F198,0)</f>
        <v>9.165874516344509</v>
      </c>
      <c r="I198" s="31">
        <f>IF(AND(12*años+gracia-B197&gt;0,$L$2&lt;&gt;1),G198-H198,0)</f>
        <v>10.002845968070716</v>
      </c>
      <c r="J198" s="62"/>
      <c r="K198" s="61">
        <f t="shared" si="33"/>
        <v>2789.8148323288738</v>
      </c>
      <c r="L198" s="61">
        <f>L197*(1+$J$17)^(1/12)</f>
        <v>6706.7952378760538</v>
      </c>
      <c r="M198" s="31">
        <f t="shared" si="34"/>
        <v>12</v>
      </c>
      <c r="N198" s="31">
        <f t="shared" si="35"/>
        <v>0</v>
      </c>
      <c r="O198" s="31">
        <f t="shared" si="36"/>
        <v>-2.25</v>
      </c>
      <c r="P198" s="62"/>
      <c r="Q198" s="31">
        <f t="shared" si="29"/>
        <v>-9.4187204844152248</v>
      </c>
      <c r="R198" s="31">
        <f>SUM($Q$36:Q198)</f>
        <v>-2121.2327184752608</v>
      </c>
      <c r="S198" s="83">
        <f>IF($L$2&lt;&gt;1,-(R198-$R$36)/B198*12/$Q$36,0)</f>
        <v>-0.18982977126802533</v>
      </c>
      <c r="T198" s="31">
        <f>SUMPRODUCT($Q$36:Q198,$E$36:E198)/E198-R198</f>
        <v>-1148.6505765786615</v>
      </c>
      <c r="U198" s="31">
        <f t="shared" si="30"/>
        <v>1795.7476870719192</v>
      </c>
      <c r="V198" s="31">
        <f t="shared" si="31"/>
        <v>2391.1476870719193</v>
      </c>
      <c r="W198" s="80" cm="1">
        <f t="array" ref="W198">IF($L$2&lt;&gt;1,IRR(IF(ROW($Q$36:Q198)=ROW(Q198),Q198+L198-K198,$Q$36:Q198),W197/12)*12,0)</f>
        <v>6.6458129833219637E-2</v>
      </c>
      <c r="X198" s="83">
        <f>(1+W198/12)^(B198)-1</f>
        <v>1.4466249496418473</v>
      </c>
    </row>
    <row r="199" spans="2:24" x14ac:dyDescent="0.25">
      <c r="B199" s="33">
        <v>163</v>
      </c>
      <c r="C199" s="81">
        <f t="shared" si="27"/>
        <v>13.583333333333334</v>
      </c>
      <c r="D199" s="105">
        <f t="shared" si="28"/>
        <v>3.9789301544717048E-3</v>
      </c>
      <c r="E199" s="106">
        <f t="shared" si="32"/>
        <v>0.52346833949093796</v>
      </c>
      <c r="F199" s="60">
        <f>rate</f>
        <v>3.2737397821989145E-3</v>
      </c>
      <c r="G199" s="31">
        <f>IF(AND(B198&gt;=gracia,12*años+gracia-B198&gt;0,$L$2&lt;&gt;1),PMT(F198,12*años-B198+gracia,-K198),0)</f>
        <v>19.168720484415225</v>
      </c>
      <c r="H199" s="31">
        <f>IF(AND(12*años+gracia-B198&gt;0,$L$2&lt;&gt;1),K198*F199,0)</f>
        <v>9.1331278015636279</v>
      </c>
      <c r="I199" s="31">
        <f>IF(AND(12*años+gracia-B198&gt;0,$L$2&lt;&gt;1),G199-H199,0)</f>
        <v>10.035592682851597</v>
      </c>
      <c r="J199" s="62"/>
      <c r="K199" s="61">
        <f t="shared" si="33"/>
        <v>2779.7792396460222</v>
      </c>
      <c r="L199" s="61">
        <f>L198*(1+$J$17)^(1/12)</f>
        <v>6723.3360042402574</v>
      </c>
      <c r="M199" s="31">
        <f t="shared" si="34"/>
        <v>12</v>
      </c>
      <c r="N199" s="31">
        <f t="shared" si="35"/>
        <v>0</v>
      </c>
      <c r="O199" s="31">
        <f t="shared" si="36"/>
        <v>-2.25</v>
      </c>
      <c r="P199" s="62"/>
      <c r="Q199" s="31">
        <f t="shared" si="29"/>
        <v>-9.4187204844152248</v>
      </c>
      <c r="R199" s="31">
        <f>SUM($Q$36:Q199)</f>
        <v>-2130.6514389596759</v>
      </c>
      <c r="S199" s="83">
        <f>IF($L$2&lt;&gt;1,-(R199-$R$36)/B199*12/$Q$36,0)</f>
        <v>-0.18982977126802533</v>
      </c>
      <c r="T199" s="31">
        <f>SUMPRODUCT($Q$36:Q199,$E$36:E199)/E199-R199</f>
        <v>-1161.6612138229552</v>
      </c>
      <c r="U199" s="31">
        <f t="shared" si="30"/>
        <v>1812.9053256345587</v>
      </c>
      <c r="V199" s="31">
        <f t="shared" si="31"/>
        <v>2408.3053256345588</v>
      </c>
      <c r="W199" s="80" cm="1">
        <f t="array" ref="W199">IF($L$2&lt;&gt;1,IRR(IF(ROW($Q$36:Q199)=ROW(Q199),Q199+L199-K199,$Q$36:Q199),W198/12)*12,0)</f>
        <v>6.6341583662811843E-2</v>
      </c>
      <c r="X199" s="83">
        <f>(1+W199/12)^(B199)-1</f>
        <v>1.4563046050743922</v>
      </c>
    </row>
    <row r="200" spans="2:24" x14ac:dyDescent="0.25">
      <c r="B200" s="33">
        <v>164</v>
      </c>
      <c r="C200" s="81">
        <f t="shared" si="27"/>
        <v>13.666666666666666</v>
      </c>
      <c r="D200" s="105">
        <f t="shared" si="28"/>
        <v>3.9789301544717048E-3</v>
      </c>
      <c r="E200" s="106">
        <f t="shared" si="32"/>
        <v>0.52139375017600953</v>
      </c>
      <c r="F200" s="60">
        <f>rate</f>
        <v>3.2737397821989145E-3</v>
      </c>
      <c r="G200" s="31">
        <f>IF(AND(B199&gt;=gracia,12*años+gracia-B199&gt;0,$L$2&lt;&gt;1),PMT(F199,12*años-B199+gracia,-K199),0)</f>
        <v>19.168720484415225</v>
      </c>
      <c r="H200" s="31">
        <f>IF(AND(12*años+gracia-B199&gt;0,$L$2&lt;&gt;1),K199*F200,0)</f>
        <v>9.1002738825598328</v>
      </c>
      <c r="I200" s="31">
        <f>IF(AND(12*años+gracia-B199&gt;0,$L$2&lt;&gt;1),G200-H200,0)</f>
        <v>10.068446601855392</v>
      </c>
      <c r="J200" s="62"/>
      <c r="K200" s="61">
        <f t="shared" si="33"/>
        <v>2769.7107930441666</v>
      </c>
      <c r="L200" s="61">
        <f>L199*(1+$J$17)^(1/12)</f>
        <v>6739.9175645965561</v>
      </c>
      <c r="M200" s="31">
        <f t="shared" si="34"/>
        <v>12</v>
      </c>
      <c r="N200" s="31">
        <f t="shared" si="35"/>
        <v>0</v>
      </c>
      <c r="O200" s="31">
        <f t="shared" si="36"/>
        <v>-2.25</v>
      </c>
      <c r="P200" s="62"/>
      <c r="Q200" s="31">
        <f t="shared" si="29"/>
        <v>-9.4187204844152248</v>
      </c>
      <c r="R200" s="31">
        <f>SUM($Q$36:Q200)</f>
        <v>-2140.0701594440911</v>
      </c>
      <c r="S200" s="83">
        <f>IF($L$2&lt;&gt;1,-(R200-$R$36)/B200*12/$Q$36,0)</f>
        <v>-0.18982977126802533</v>
      </c>
      <c r="T200" s="31">
        <f>SUMPRODUCT($Q$36:Q200,$E$36:E200)/E200-R200</f>
        <v>-1174.7610959150607</v>
      </c>
      <c r="U200" s="31">
        <f t="shared" si="30"/>
        <v>1830.1366121082983</v>
      </c>
      <c r="V200" s="31">
        <f t="shared" si="31"/>
        <v>2425.5366121082984</v>
      </c>
      <c r="W200" s="80" cm="1">
        <f t="array" ref="W200">IF($L$2&lt;&gt;1,IRR(IF(ROW($Q$36:Q200)=ROW(Q200),Q200+L200-K200,$Q$36:Q200),W199/12)*12,0)</f>
        <v>6.6225595725764919E-2</v>
      </c>
      <c r="X200" s="83">
        <f>(1+W200/12)^(B200)-1</f>
        <v>1.4659935920295291</v>
      </c>
    </row>
    <row r="201" spans="2:24" x14ac:dyDescent="0.25">
      <c r="B201" s="33">
        <v>165</v>
      </c>
      <c r="C201" s="81">
        <f t="shared" si="27"/>
        <v>13.75</v>
      </c>
      <c r="D201" s="105">
        <f t="shared" si="28"/>
        <v>3.9789301544717048E-3</v>
      </c>
      <c r="E201" s="106">
        <f t="shared" si="32"/>
        <v>0.51932738279257329</v>
      </c>
      <c r="F201" s="60">
        <f>rate</f>
        <v>3.2737397821989145E-3</v>
      </c>
      <c r="G201" s="31">
        <f>IF(AND(B200&gt;=gracia,12*años+gracia-B200&gt;0,$L$2&lt;&gt;1),PMT(F200,12*años-B200+gracia,-K200),0)</f>
        <v>19.168720484415225</v>
      </c>
      <c r="H201" s="31">
        <f>IF(AND(12*años+gracia-B200&gt;0,$L$2&lt;&gt;1),K200*F201,0)</f>
        <v>9.0673124083743932</v>
      </c>
      <c r="I201" s="31">
        <f>IF(AND(12*años+gracia-B200&gt;0,$L$2&lt;&gt;1),G201-H201,0)</f>
        <v>10.101408076040832</v>
      </c>
      <c r="J201" s="62"/>
      <c r="K201" s="61">
        <f t="shared" si="33"/>
        <v>2759.6093849681256</v>
      </c>
      <c r="L201" s="61">
        <f>L200*(1+$J$17)^(1/12)</f>
        <v>6756.5400195539396</v>
      </c>
      <c r="M201" s="31">
        <f t="shared" si="34"/>
        <v>12</v>
      </c>
      <c r="N201" s="31">
        <f t="shared" si="35"/>
        <v>0</v>
      </c>
      <c r="O201" s="31">
        <f t="shared" si="36"/>
        <v>-2.25</v>
      </c>
      <c r="P201" s="62"/>
      <c r="Q201" s="31">
        <f t="shared" si="29"/>
        <v>-9.4187204844152248</v>
      </c>
      <c r="R201" s="31">
        <f>SUM($Q$36:Q201)</f>
        <v>-2149.4888799285063</v>
      </c>
      <c r="S201" s="83">
        <f>IF($L$2&lt;&gt;1,-(R201-$R$36)/B201*12/$Q$36,0)</f>
        <v>-0.18982977126802533</v>
      </c>
      <c r="T201" s="31">
        <f>SUMPRODUCT($Q$36:Q201,$E$36:E201)/E201-R201</f>
        <v>-1187.9505779539945</v>
      </c>
      <c r="U201" s="31">
        <f t="shared" si="30"/>
        <v>1847.4417546573077</v>
      </c>
      <c r="V201" s="31">
        <f t="shared" si="31"/>
        <v>2442.8417546573078</v>
      </c>
      <c r="W201" s="80" cm="1">
        <f t="array" ref="W201">IF($L$2&lt;&gt;1,IRR(IF(ROW($Q$36:Q201)=ROW(Q201),Q201+L201-K201,$Q$36:Q201),W200/12)*12,0)</f>
        <v>6.611016672094383E-2</v>
      </c>
      <c r="X201" s="83">
        <f>(1+W201/12)^(B201)-1</f>
        <v>1.4756920863831628</v>
      </c>
    </row>
    <row r="202" spans="2:24" x14ac:dyDescent="0.25">
      <c r="B202" s="33">
        <v>166</v>
      </c>
      <c r="C202" s="81">
        <f t="shared" si="27"/>
        <v>13.833333333333334</v>
      </c>
      <c r="D202" s="105">
        <f t="shared" si="28"/>
        <v>3.9789301544717048E-3</v>
      </c>
      <c r="E202" s="106">
        <f t="shared" si="32"/>
        <v>0.51726920475579086</v>
      </c>
      <c r="F202" s="60">
        <f>rate</f>
        <v>3.2737397821989145E-3</v>
      </c>
      <c r="G202" s="31">
        <f>IF(AND(B201&gt;=gracia,12*años+gracia-B201&gt;0,$L$2&lt;&gt;1),PMT(F201,12*años-B201+gracia,-K201),0)</f>
        <v>19.168720484415221</v>
      </c>
      <c r="H202" s="31">
        <f>IF(AND(12*años+gracia-B201&gt;0,$L$2&lt;&gt;1),K201*F202,0)</f>
        <v>9.034243026899631</v>
      </c>
      <c r="I202" s="31">
        <f>IF(AND(12*años+gracia-B201&gt;0,$L$2&lt;&gt;1),G202-H202,0)</f>
        <v>10.13447745751559</v>
      </c>
      <c r="J202" s="62"/>
      <c r="K202" s="61">
        <f t="shared" si="33"/>
        <v>2749.4749075106101</v>
      </c>
      <c r="L202" s="61">
        <f>L201*(1+$J$17)^(1/12)</f>
        <v>6773.2034699695259</v>
      </c>
      <c r="M202" s="31">
        <f t="shared" si="34"/>
        <v>12</v>
      </c>
      <c r="N202" s="31">
        <f t="shared" si="35"/>
        <v>0</v>
      </c>
      <c r="O202" s="31">
        <f t="shared" si="36"/>
        <v>-2.25</v>
      </c>
      <c r="P202" s="62"/>
      <c r="Q202" s="31">
        <f t="shared" si="29"/>
        <v>-9.4187204844152213</v>
      </c>
      <c r="R202" s="31">
        <f>SUM($Q$36:Q202)</f>
        <v>-2158.9076004129215</v>
      </c>
      <c r="S202" s="83">
        <f>IF($L$2&lt;&gt;1,-(R202-$R$36)/B202*12/$Q$36,0)</f>
        <v>-0.18982977126802533</v>
      </c>
      <c r="T202" s="31">
        <f>SUMPRODUCT($Q$36:Q202,$E$36:E202)/E202-R202</f>
        <v>-1201.2300164516869</v>
      </c>
      <c r="U202" s="31">
        <f t="shared" si="30"/>
        <v>1864.8209620459938</v>
      </c>
      <c r="V202" s="31">
        <f t="shared" si="31"/>
        <v>2460.2209620459939</v>
      </c>
      <c r="W202" s="80" cm="1">
        <f t="array" ref="W202">IF($L$2&lt;&gt;1,IRR(IF(ROW($Q$36:Q202)=ROW(Q202),Q202+L202-K202,$Q$36:Q202),W201/12)*12,0)</f>
        <v>6.5995297150626797E-2</v>
      </c>
      <c r="X202" s="83">
        <f>(1+W202/12)^(B202)-1</f>
        <v>1.4854002625588572</v>
      </c>
    </row>
    <row r="203" spans="2:24" x14ac:dyDescent="0.25">
      <c r="B203" s="33">
        <v>167</v>
      </c>
      <c r="C203" s="81">
        <f t="shared" si="27"/>
        <v>13.916666666666666</v>
      </c>
      <c r="D203" s="105">
        <f t="shared" si="28"/>
        <v>3.9789301544717048E-3</v>
      </c>
      <c r="E203" s="106">
        <f t="shared" si="32"/>
        <v>0.51521918360996288</v>
      </c>
      <c r="F203" s="60">
        <f>rate</f>
        <v>3.2737397821989145E-3</v>
      </c>
      <c r="G203" s="31">
        <f>IF(AND(B202&gt;=gracia,12*años+gracia-B202&gt;0,$L$2&lt;&gt;1),PMT(F202,12*años-B202+gracia,-K202),0)</f>
        <v>19.168720484415225</v>
      </c>
      <c r="H203" s="31">
        <f>IF(AND(12*años+gracia-B202&gt;0,$L$2&lt;&gt;1),K202*F203,0)</f>
        <v>9.0010653848751652</v>
      </c>
      <c r="I203" s="31">
        <f>IF(AND(12*años+gracia-B202&gt;0,$L$2&lt;&gt;1),G203-H203,0)</f>
        <v>10.16765509954006</v>
      </c>
      <c r="J203" s="62"/>
      <c r="K203" s="61">
        <f t="shared" si="33"/>
        <v>2739.3072524110703</v>
      </c>
      <c r="L203" s="61">
        <f>L202*(1+$J$17)^(1/12)</f>
        <v>6789.9080169491745</v>
      </c>
      <c r="M203" s="31">
        <f t="shared" si="34"/>
        <v>12</v>
      </c>
      <c r="N203" s="31">
        <f t="shared" si="35"/>
        <v>0</v>
      </c>
      <c r="O203" s="31">
        <f t="shared" si="36"/>
        <v>-2.25</v>
      </c>
      <c r="P203" s="62"/>
      <c r="Q203" s="31">
        <f t="shared" si="29"/>
        <v>-9.4187204844152248</v>
      </c>
      <c r="R203" s="31">
        <f>SUM($Q$36:Q203)</f>
        <v>-2168.3263208973367</v>
      </c>
      <c r="S203" s="83">
        <f>IF($L$2&lt;&gt;1,-(R203-$R$36)/B203*12/$Q$36,0)</f>
        <v>-0.18982977126802533</v>
      </c>
      <c r="T203" s="31">
        <f>SUMPRODUCT($Q$36:Q203,$E$36:E203)/E203-R203</f>
        <v>-1214.5997693386043</v>
      </c>
      <c r="U203" s="31">
        <f t="shared" si="30"/>
        <v>1882.2744436407675</v>
      </c>
      <c r="V203" s="31">
        <f t="shared" si="31"/>
        <v>2477.6744436407675</v>
      </c>
      <c r="W203" s="80" cm="1">
        <f t="array" ref="W203">IF($L$2&lt;&gt;1,IRR(IF(ROW($Q$36:Q203)=ROW(Q203),Q203+L203-K203,$Q$36:Q203),W202/12)*12,0)</f>
        <v>6.5880987330196206E-2</v>
      </c>
      <c r="X203" s="83">
        <f>(1+W203/12)^(B203)-1</f>
        <v>1.4951182935574838</v>
      </c>
    </row>
    <row r="204" spans="2:24" x14ac:dyDescent="0.25">
      <c r="B204" s="33">
        <v>168</v>
      </c>
      <c r="C204" s="81">
        <f t="shared" si="27"/>
        <v>14</v>
      </c>
      <c r="D204" s="105">
        <f t="shared" si="28"/>
        <v>3.9789301544717048E-3</v>
      </c>
      <c r="E204" s="106">
        <f t="shared" si="32"/>
        <v>0.51317728702801713</v>
      </c>
      <c r="F204" s="60">
        <f>rate</f>
        <v>3.2737397821989145E-3</v>
      </c>
      <c r="G204" s="31">
        <f>IF(AND(B203&gt;=gracia,12*años+gracia-B203&gt;0,$L$2&lt;&gt;1),PMT(F203,12*años-B203+gracia,-K203),0)</f>
        <v>19.168720484415225</v>
      </c>
      <c r="H204" s="31">
        <f>IF(AND(12*años+gracia-B203&gt;0,$L$2&lt;&gt;1),K203*F204,0)</f>
        <v>8.9677791278841248</v>
      </c>
      <c r="I204" s="31">
        <f>IF(AND(12*años+gracia-B203&gt;0,$L$2&lt;&gt;1),G204-H204,0)</f>
        <v>10.2009413565311</v>
      </c>
      <c r="J204" s="62"/>
      <c r="K204" s="61">
        <f t="shared" si="33"/>
        <v>2729.1063110545392</v>
      </c>
      <c r="L204" s="61">
        <f>L203*(1+$J$17)^(1/12)</f>
        <v>6806.6537618480988</v>
      </c>
      <c r="M204" s="31">
        <f t="shared" si="34"/>
        <v>12</v>
      </c>
      <c r="N204" s="31">
        <f t="shared" si="35"/>
        <v>0</v>
      </c>
      <c r="O204" s="31">
        <f t="shared" si="36"/>
        <v>-2.25</v>
      </c>
      <c r="P204" s="62"/>
      <c r="Q204" s="31">
        <f t="shared" si="29"/>
        <v>-9.4187204844152248</v>
      </c>
      <c r="R204" s="31">
        <f>SUM($Q$36:Q204)</f>
        <v>-2177.7450413817519</v>
      </c>
      <c r="S204" s="83">
        <f>IF($L$2&lt;&gt;1,-(R204-$R$36)/B204*12/$Q$36,0)</f>
        <v>-0.18982977126802533</v>
      </c>
      <c r="T204" s="31">
        <f>SUMPRODUCT($Q$36:Q204,$E$36:E204)/E204-R204</f>
        <v>-1228.0601959693931</v>
      </c>
      <c r="U204" s="31">
        <f t="shared" si="30"/>
        <v>1899.8024094118073</v>
      </c>
      <c r="V204" s="31">
        <f t="shared" si="31"/>
        <v>2495.2024094118074</v>
      </c>
      <c r="W204" s="80" cm="1">
        <f t="array" ref="W204">IF($L$2&lt;&gt;1,IRR(IF(ROW($Q$36:Q204)=ROW(Q204),Q204+L204-K204,$Q$36:Q204),W203/12)*12,0)</f>
        <v>6.5767237397341916E-2</v>
      </c>
      <c r="X204" s="83">
        <f>(1+W204/12)^(B204)-1</f>
        <v>1.5048463509848484</v>
      </c>
    </row>
    <row r="205" spans="2:24" x14ac:dyDescent="0.25">
      <c r="B205" s="33">
        <v>169</v>
      </c>
      <c r="C205" s="81">
        <f t="shared" si="27"/>
        <v>14.083333333333334</v>
      </c>
      <c r="D205" s="105">
        <f t="shared" si="28"/>
        <v>3.9789301544717048E-3</v>
      </c>
      <c r="E205" s="106">
        <f t="shared" si="32"/>
        <v>0.51114348281099875</v>
      </c>
      <c r="F205" s="60">
        <f>rate</f>
        <v>3.2737397821989145E-3</v>
      </c>
      <c r="G205" s="31">
        <f>IF(AND(B204&gt;=gracia,12*años+gracia-B204&gt;0,$L$2&lt;&gt;1),PMT(F204,12*años-B204+gracia,-K204),0)</f>
        <v>19.168720484415225</v>
      </c>
      <c r="H205" s="31">
        <f>IF(AND(12*años+gracia-B204&gt;0,$L$2&lt;&gt;1),K204*F205,0)</f>
        <v>8.9343839003493706</v>
      </c>
      <c r="I205" s="31">
        <f>IF(AND(12*años+gracia-B204&gt;0,$L$2&lt;&gt;1),G205-H205,0)</f>
        <v>10.234336584065854</v>
      </c>
      <c r="J205" s="62"/>
      <c r="K205" s="61">
        <f t="shared" si="33"/>
        <v>2718.8719744704736</v>
      </c>
      <c r="L205" s="61">
        <f>L204*(1+$J$17)^(1/12)</f>
        <v>6823.440806271482</v>
      </c>
      <c r="M205" s="31">
        <f t="shared" si="34"/>
        <v>12</v>
      </c>
      <c r="N205" s="31">
        <f t="shared" si="35"/>
        <v>0</v>
      </c>
      <c r="O205" s="31">
        <f t="shared" si="36"/>
        <v>-2.25</v>
      </c>
      <c r="P205" s="62"/>
      <c r="Q205" s="31">
        <f t="shared" si="29"/>
        <v>-9.4187204844152248</v>
      </c>
      <c r="R205" s="31">
        <f>SUM($Q$36:Q205)</f>
        <v>-2187.1637618661671</v>
      </c>
      <c r="S205" s="83">
        <f>IF($L$2&lt;&gt;1,-(R205-$R$36)/B205*12/$Q$36,0)</f>
        <v>-0.18982977126802533</v>
      </c>
      <c r="T205" s="31">
        <f>SUMPRODUCT($Q$36:Q205,$E$36:E205)/E205-R205</f>
        <v>-1241.611657128547</v>
      </c>
      <c r="U205" s="31">
        <f t="shared" si="30"/>
        <v>1917.4050699348418</v>
      </c>
      <c r="V205" s="31">
        <f t="shared" si="31"/>
        <v>2512.8050699348419</v>
      </c>
      <c r="W205" s="80" cm="1">
        <f t="array" ref="W205">IF($L$2&lt;&gt;1,IRR(IF(ROW($Q$36:Q205)=ROW(Q205),Q205+L205-K205,$Q$36:Q205),W204/12)*12,0)</f>
        <v>6.5654047320878206E-2</v>
      </c>
      <c r="X205" s="83">
        <f>(1+W205/12)^(B205)-1</f>
        <v>1.5145846050796283</v>
      </c>
    </row>
    <row r="206" spans="2:24" x14ac:dyDescent="0.25">
      <c r="B206" s="33">
        <v>170</v>
      </c>
      <c r="C206" s="81">
        <f t="shared" si="27"/>
        <v>14.166666666666666</v>
      </c>
      <c r="D206" s="105">
        <f t="shared" si="28"/>
        <v>3.9789301544717048E-3</v>
      </c>
      <c r="E206" s="106">
        <f t="shared" si="32"/>
        <v>0.50911773888756262</v>
      </c>
      <c r="F206" s="60">
        <f>rate</f>
        <v>3.2737397821989145E-3</v>
      </c>
      <c r="G206" s="31">
        <f>IF(AND(B205&gt;=gracia,12*años+gracia-B205&gt;0,$L$2&lt;&gt;1),PMT(F205,12*años-B205+gracia,-K205),0)</f>
        <v>19.168720484415225</v>
      </c>
      <c r="H206" s="31">
        <f>IF(AND(12*años+gracia-B205&gt;0,$L$2&lt;&gt;1),K205*F206,0)</f>
        <v>8.9008793455297006</v>
      </c>
      <c r="I206" s="31">
        <f>IF(AND(12*años+gracia-B205&gt;0,$L$2&lt;&gt;1),G206-H206,0)</f>
        <v>10.267841138885524</v>
      </c>
      <c r="J206" s="62"/>
      <c r="K206" s="61">
        <f t="shared" si="33"/>
        <v>2708.6041333315879</v>
      </c>
      <c r="L206" s="61">
        <f>L205*(1+$J$17)^(1/12)</f>
        <v>6840.2692520750925</v>
      </c>
      <c r="M206" s="31">
        <f t="shared" si="34"/>
        <v>12</v>
      </c>
      <c r="N206" s="31">
        <f t="shared" si="35"/>
        <v>0</v>
      </c>
      <c r="O206" s="31">
        <f t="shared" si="36"/>
        <v>-2.25</v>
      </c>
      <c r="P206" s="62"/>
      <c r="Q206" s="31">
        <f t="shared" si="29"/>
        <v>-9.4187204844152248</v>
      </c>
      <c r="R206" s="31">
        <f>SUM($Q$36:Q206)</f>
        <v>-2196.5824823505823</v>
      </c>
      <c r="S206" s="83">
        <f>IF($L$2&lt;&gt;1,-(R206-$R$36)/B206*12/$Q$36,0)</f>
        <v>-0.18982977126802533</v>
      </c>
      <c r="T206" s="31">
        <f>SUMPRODUCT($Q$36:Q206,$E$36:E206)/E206-R206</f>
        <v>-1255.2545150360961</v>
      </c>
      <c r="U206" s="31">
        <f t="shared" si="30"/>
        <v>1935.0826363929218</v>
      </c>
      <c r="V206" s="31">
        <f t="shared" si="31"/>
        <v>2530.4826363929219</v>
      </c>
      <c r="W206" s="80" cm="1">
        <f t="array" ref="W206">IF($L$2&lt;&gt;1,IRR(IF(ROW($Q$36:Q206)=ROW(Q206),Q206+L206-K206,$Q$36:Q206),W205/12)*12,0)</f>
        <v>6.5541416909158379E-2</v>
      </c>
      <c r="X206" s="83">
        <f>(1+W206/12)^(B206)-1</f>
        <v>1.5243332247411949</v>
      </c>
    </row>
    <row r="207" spans="2:24" x14ac:dyDescent="0.25">
      <c r="B207" s="33">
        <v>171</v>
      </c>
      <c r="C207" s="81">
        <f t="shared" si="27"/>
        <v>14.25</v>
      </c>
      <c r="D207" s="105">
        <f t="shared" si="28"/>
        <v>3.9789301544717048E-3</v>
      </c>
      <c r="E207" s="106">
        <f t="shared" si="32"/>
        <v>0.50710002331346737</v>
      </c>
      <c r="F207" s="60">
        <f>rate</f>
        <v>3.2737397821989145E-3</v>
      </c>
      <c r="G207" s="31">
        <f>IF(AND(B206&gt;=gracia,12*años+gracia-B206&gt;0,$L$2&lt;&gt;1),PMT(F206,12*años-B206+gracia,-K206),0)</f>
        <v>19.168720484415221</v>
      </c>
      <c r="H207" s="31">
        <f>IF(AND(12*años+gracia-B206&gt;0,$L$2&lt;&gt;1),K206*F207,0)</f>
        <v>8.867265105516033</v>
      </c>
      <c r="I207" s="31">
        <f>IF(AND(12*años+gracia-B206&gt;0,$L$2&lt;&gt;1),G207-H207,0)</f>
        <v>10.301455378899188</v>
      </c>
      <c r="J207" s="62"/>
      <c r="K207" s="61">
        <f t="shared" si="33"/>
        <v>2698.3026779526886</v>
      </c>
      <c r="L207" s="61">
        <f>L206*(1+$J$17)^(1/12)</f>
        <v>6857.1392013659033</v>
      </c>
      <c r="M207" s="31">
        <f t="shared" si="34"/>
        <v>12</v>
      </c>
      <c r="N207" s="31">
        <f t="shared" si="35"/>
        <v>0</v>
      </c>
      <c r="O207" s="31">
        <f t="shared" si="36"/>
        <v>-2.25</v>
      </c>
      <c r="P207" s="62"/>
      <c r="Q207" s="31">
        <f t="shared" si="29"/>
        <v>-9.4187204844152213</v>
      </c>
      <c r="R207" s="31">
        <f>SUM($Q$36:Q207)</f>
        <v>-2206.0012028349975</v>
      </c>
      <c r="S207" s="83">
        <f>IF($L$2&lt;&gt;1,-(R207-$R$36)/B207*12/$Q$36,0)</f>
        <v>-0.18982977126802533</v>
      </c>
      <c r="T207" s="31">
        <f>SUMPRODUCT($Q$36:Q207,$E$36:E207)/E207-R207</f>
        <v>-1268.9891333533192</v>
      </c>
      <c r="U207" s="31">
        <f t="shared" si="30"/>
        <v>1952.8353205782178</v>
      </c>
      <c r="V207" s="31">
        <f t="shared" si="31"/>
        <v>2548.2353205782179</v>
      </c>
      <c r="W207" s="80" cm="1">
        <f t="array" ref="W207">IF($L$2&lt;&gt;1,IRR(IF(ROW($Q$36:Q207)=ROW(Q207),Q207+L207-K207,$Q$36:Q207),W206/12)*12,0)</f>
        <v>6.5429345818073692E-2</v>
      </c>
      <c r="X207" s="83">
        <f>(1+W207/12)^(B207)-1</f>
        <v>1.534092377555154</v>
      </c>
    </row>
    <row r="208" spans="2:24" x14ac:dyDescent="0.25">
      <c r="B208" s="33">
        <v>172</v>
      </c>
      <c r="C208" s="81">
        <f t="shared" si="27"/>
        <v>14.333333333333334</v>
      </c>
      <c r="D208" s="105">
        <f t="shared" si="28"/>
        <v>3.9789301544717048E-3</v>
      </c>
      <c r="E208" s="106">
        <f t="shared" si="32"/>
        <v>0.50509030427107193</v>
      </c>
      <c r="F208" s="60">
        <f>rate</f>
        <v>3.2737397821989145E-3</v>
      </c>
      <c r="G208" s="31">
        <f>IF(AND(B207&gt;=gracia,12*años+gracia-B207&gt;0,$L$2&lt;&gt;1),PMT(F207,12*años-B207+gracia,-K207),0)</f>
        <v>19.168720484415221</v>
      </c>
      <c r="H208" s="31">
        <f>IF(AND(12*años+gracia-B207&gt;0,$L$2&lt;&gt;1),K207*F208,0)</f>
        <v>8.833540821227583</v>
      </c>
      <c r="I208" s="31">
        <f>IF(AND(12*años+gracia-B207&gt;0,$L$2&lt;&gt;1),G208-H208,0)</f>
        <v>10.335179663187638</v>
      </c>
      <c r="J208" s="62"/>
      <c r="K208" s="61">
        <f t="shared" si="33"/>
        <v>2687.9674982895008</v>
      </c>
      <c r="L208" s="61">
        <f>L207*(1+$J$17)^(1/12)</f>
        <v>6874.050756502711</v>
      </c>
      <c r="M208" s="31">
        <f t="shared" si="34"/>
        <v>12</v>
      </c>
      <c r="N208" s="31">
        <f t="shared" si="35"/>
        <v>0</v>
      </c>
      <c r="O208" s="31">
        <f t="shared" si="36"/>
        <v>-2.25</v>
      </c>
      <c r="P208" s="62"/>
      <c r="Q208" s="31">
        <f t="shared" si="29"/>
        <v>-9.4187204844152213</v>
      </c>
      <c r="R208" s="31">
        <f>SUM($Q$36:Q208)</f>
        <v>-2215.4199233194126</v>
      </c>
      <c r="S208" s="83">
        <f>IF($L$2&lt;&gt;1,-(R208-$R$36)/B208*12/$Q$36,0)</f>
        <v>-0.18982977126802533</v>
      </c>
      <c r="T208" s="31">
        <f>SUMPRODUCT($Q$36:Q208,$E$36:E208)/E208-R208</f>
        <v>-1282.8158771884769</v>
      </c>
      <c r="U208" s="31">
        <f t="shared" si="30"/>
        <v>1970.6633348937976</v>
      </c>
      <c r="V208" s="31">
        <f t="shared" si="31"/>
        <v>2566.0633348937977</v>
      </c>
      <c r="W208" s="80" cm="1">
        <f t="array" ref="W208">IF($L$2&lt;&gt;1,IRR(IF(ROW($Q$36:Q208)=ROW(Q208),Q208+L208-K208,$Q$36:Q208),W207/12)*12,0)</f>
        <v>6.5317833558729887E-2</v>
      </c>
      <c r="X208" s="83">
        <f>(1+W208/12)^(B208)-1</f>
        <v>1.5438622298199922</v>
      </c>
    </row>
    <row r="209" spans="2:24" x14ac:dyDescent="0.25">
      <c r="B209" s="33">
        <v>173</v>
      </c>
      <c r="C209" s="81">
        <f t="shared" si="27"/>
        <v>14.416666666666666</v>
      </c>
      <c r="D209" s="105">
        <f t="shared" si="28"/>
        <v>3.9789301544717048E-3</v>
      </c>
      <c r="E209" s="106">
        <f t="shared" si="32"/>
        <v>0.50308855006883357</v>
      </c>
      <c r="F209" s="60">
        <f>rate</f>
        <v>3.2737397821989145E-3</v>
      </c>
      <c r="G209" s="31">
        <f>IF(AND(B208&gt;=gracia,12*años+gracia-B208&gt;0,$L$2&lt;&gt;1),PMT(F208,12*años-B208+gracia,-K208),0)</f>
        <v>19.168720484415221</v>
      </c>
      <c r="H209" s="31">
        <f>IF(AND(12*años+gracia-B208&gt;0,$L$2&lt;&gt;1),K208*F209,0)</f>
        <v>8.7997061324080317</v>
      </c>
      <c r="I209" s="31">
        <f>IF(AND(12*años+gracia-B208&gt;0,$L$2&lt;&gt;1),G209-H209,0)</f>
        <v>10.36901435200719</v>
      </c>
      <c r="J209" s="62"/>
      <c r="K209" s="61">
        <f t="shared" si="33"/>
        <v>2677.5984839374937</v>
      </c>
      <c r="L209" s="61">
        <f>L208*(1+$J$17)^(1/12)</f>
        <v>6891.0040200967551</v>
      </c>
      <c r="M209" s="31">
        <f t="shared" si="34"/>
        <v>12</v>
      </c>
      <c r="N209" s="31">
        <f t="shared" si="35"/>
        <v>0</v>
      </c>
      <c r="O209" s="31">
        <f t="shared" si="36"/>
        <v>-2.25</v>
      </c>
      <c r="P209" s="62"/>
      <c r="Q209" s="31">
        <f t="shared" si="29"/>
        <v>-9.4187204844152213</v>
      </c>
      <c r="R209" s="31">
        <f>SUM($Q$36:Q209)</f>
        <v>-2224.8386438038278</v>
      </c>
      <c r="S209" s="83">
        <f>IF($L$2&lt;&gt;1,-(R209-$R$36)/B209*12/$Q$36,0)</f>
        <v>-0.18982977126802533</v>
      </c>
      <c r="T209" s="31">
        <f>SUMPRODUCT($Q$36:Q209,$E$36:E209)/E209-R209</f>
        <v>-1296.7351131025703</v>
      </c>
      <c r="U209" s="31">
        <f t="shared" si="30"/>
        <v>1988.566892355434</v>
      </c>
      <c r="V209" s="31">
        <f t="shared" si="31"/>
        <v>2583.9668923554341</v>
      </c>
      <c r="W209" s="80" cm="1">
        <f t="array" ref="W209">IF($L$2&lt;&gt;1,IRR(IF(ROW($Q$36:Q209)=ROW(Q209),Q209+L209-K209,$Q$36:Q209),W208/12)*12,0)</f>
        <v>6.5206879504758675E-2</v>
      </c>
      <c r="X209" s="83">
        <f>(1+W209/12)^(B209)-1</f>
        <v>1.5536429465727233</v>
      </c>
    </row>
    <row r="210" spans="2:24" x14ac:dyDescent="0.25">
      <c r="B210" s="33">
        <v>174</v>
      </c>
      <c r="C210" s="81">
        <f t="shared" si="27"/>
        <v>14.5</v>
      </c>
      <c r="D210" s="105">
        <f t="shared" si="28"/>
        <v>3.9789301544717048E-3</v>
      </c>
      <c r="E210" s="106">
        <f t="shared" si="32"/>
        <v>0.50109472914080833</v>
      </c>
      <c r="F210" s="60">
        <f>rate</f>
        <v>3.2737397821989145E-3</v>
      </c>
      <c r="G210" s="31">
        <f>IF(AND(B209&gt;=gracia,12*años+gracia-B209&gt;0,$L$2&lt;&gt;1),PMT(F209,12*años-B209+gracia,-K209),0)</f>
        <v>19.168720484415225</v>
      </c>
      <c r="H210" s="31">
        <f>IF(AND(12*años+gracia-B209&gt;0,$L$2&lt;&gt;1),K209*F210,0)</f>
        <v>8.7657606776216745</v>
      </c>
      <c r="I210" s="31">
        <f>IF(AND(12*años+gracia-B209&gt;0,$L$2&lt;&gt;1),G210-H210,0)</f>
        <v>10.40295980679355</v>
      </c>
      <c r="J210" s="62"/>
      <c r="K210" s="61">
        <f t="shared" si="33"/>
        <v>2667.1955241307001</v>
      </c>
      <c r="L210" s="61">
        <f>L209*(1+$J$17)^(1/12)</f>
        <v>6907.9990950123429</v>
      </c>
      <c r="M210" s="31">
        <f t="shared" si="34"/>
        <v>12</v>
      </c>
      <c r="N210" s="31">
        <f t="shared" si="35"/>
        <v>0</v>
      </c>
      <c r="O210" s="31">
        <f t="shared" si="36"/>
        <v>-2.25</v>
      </c>
      <c r="P210" s="62"/>
      <c r="Q210" s="31">
        <f t="shared" si="29"/>
        <v>-9.4187204844152248</v>
      </c>
      <c r="R210" s="31">
        <f>SUM($Q$36:Q210)</f>
        <v>-2234.257364288243</v>
      </c>
      <c r="S210" s="83">
        <f>IF($L$2&lt;&gt;1,-(R210-$R$36)/B210*12/$Q$36,0)</f>
        <v>-0.18982977126802533</v>
      </c>
      <c r="T210" s="31">
        <f>SUMPRODUCT($Q$36:Q210,$E$36:E210)/E210-R210</f>
        <v>-1310.7472091151217</v>
      </c>
      <c r="U210" s="31">
        <f t="shared" si="30"/>
        <v>2006.5462065933998</v>
      </c>
      <c r="V210" s="31">
        <f t="shared" si="31"/>
        <v>2601.9462065933999</v>
      </c>
      <c r="W210" s="80" cm="1">
        <f t="array" ref="W210">IF($L$2&lt;&gt;1,IRR(IF(ROW($Q$36:Q210)=ROW(Q210),Q210+L210-K210,$Q$36:Q210),W209/12)*12,0)</f>
        <v>6.5096482899288155E-2</v>
      </c>
      <c r="X210" s="83">
        <f>(1+W210/12)^(B210)-1</f>
        <v>1.5634346916132302</v>
      </c>
    </row>
    <row r="211" spans="2:24" x14ac:dyDescent="0.25">
      <c r="B211" s="33">
        <v>175</v>
      </c>
      <c r="C211" s="81">
        <f t="shared" si="27"/>
        <v>14.583333333333334</v>
      </c>
      <c r="D211" s="105">
        <f t="shared" si="28"/>
        <v>3.9789301544717048E-3</v>
      </c>
      <c r="E211" s="106">
        <f t="shared" si="32"/>
        <v>0.49910881004615321</v>
      </c>
      <c r="F211" s="60">
        <f>rate</f>
        <v>3.2737397821989145E-3</v>
      </c>
      <c r="G211" s="31">
        <f>IF(AND(B210&gt;=gracia,12*años+gracia-B210&gt;0,$L$2&lt;&gt;1),PMT(F210,12*años-B210+gracia,-K210),0)</f>
        <v>19.168720484415225</v>
      </c>
      <c r="H211" s="31">
        <f>IF(AND(12*años+gracia-B210&gt;0,$L$2&lt;&gt;1),K210*F211,0)</f>
        <v>8.7317040942495581</v>
      </c>
      <c r="I211" s="31">
        <f>IF(AND(12*años+gracia-B210&gt;0,$L$2&lt;&gt;1),G211-H211,0)</f>
        <v>10.437016390165667</v>
      </c>
      <c r="J211" s="62"/>
      <c r="K211" s="61">
        <f t="shared" si="33"/>
        <v>2656.7585077405342</v>
      </c>
      <c r="L211" s="61">
        <f>L210*(1+$J$17)^(1/12)</f>
        <v>6925.0360843674734</v>
      </c>
      <c r="M211" s="31">
        <f t="shared" si="34"/>
        <v>12</v>
      </c>
      <c r="N211" s="31">
        <f t="shared" si="35"/>
        <v>0</v>
      </c>
      <c r="O211" s="31">
        <f t="shared" si="36"/>
        <v>-2.25</v>
      </c>
      <c r="P211" s="62"/>
      <c r="Q211" s="31">
        <f t="shared" si="29"/>
        <v>-9.4187204844152248</v>
      </c>
      <c r="R211" s="31">
        <f>SUM($Q$36:Q211)</f>
        <v>-2243.6760847726582</v>
      </c>
      <c r="S211" s="83">
        <f>IF($L$2&lt;&gt;1,-(R211-$R$36)/B211*12/$Q$36,0)</f>
        <v>-0.18982977126802533</v>
      </c>
      <c r="T211" s="31">
        <f>SUMPRODUCT($Q$36:Q211,$E$36:E211)/E211-R211</f>
        <v>-1324.8525347099762</v>
      </c>
      <c r="U211" s="31">
        <f t="shared" si="30"/>
        <v>2024.6014918542805</v>
      </c>
      <c r="V211" s="31">
        <f t="shared" si="31"/>
        <v>2620.0014918542806</v>
      </c>
      <c r="W211" s="80" cm="1">
        <f t="array" ref="W211">IF($L$2&lt;&gt;1,IRR(IF(ROW($Q$36:Q211)=ROW(Q211),Q211+L211-K211,$Q$36:Q211),W210/12)*12,0)</f>
        <v>6.4986642861628141E-2</v>
      </c>
      <c r="X211" s="83">
        <f>(1+W211/12)^(B211)-1</f>
        <v>1.573237627529219</v>
      </c>
    </row>
    <row r="212" spans="2:24" x14ac:dyDescent="0.25">
      <c r="B212" s="33">
        <v>176</v>
      </c>
      <c r="C212" s="81">
        <f t="shared" si="27"/>
        <v>14.666666666666666</v>
      </c>
      <c r="D212" s="105">
        <f t="shared" si="28"/>
        <v>3.9789301544717048E-3</v>
      </c>
      <c r="E212" s="106">
        <f t="shared" si="32"/>
        <v>0.49713076146863017</v>
      </c>
      <c r="F212" s="60">
        <f>rate</f>
        <v>3.2737397821989145E-3</v>
      </c>
      <c r="G212" s="31">
        <f>IF(AND(B211&gt;=gracia,12*años+gracia-B211&gt;0,$L$2&lt;&gt;1),PMT(F211,12*años-B211+gracia,-K211),0)</f>
        <v>19.168720484415218</v>
      </c>
      <c r="H212" s="31">
        <f>IF(AND(12*años+gracia-B211&gt;0,$L$2&lt;&gt;1),K211*F212,0)</f>
        <v>8.697536018485609</v>
      </c>
      <c r="I212" s="31">
        <f>IF(AND(12*años+gracia-B211&gt;0,$L$2&lt;&gt;1),G212-H212,0)</f>
        <v>10.471184465929609</v>
      </c>
      <c r="J212" s="62"/>
      <c r="K212" s="61">
        <f t="shared" si="33"/>
        <v>2646.2873232746047</v>
      </c>
      <c r="L212" s="61">
        <f>L211*(1+$J$17)^(1/12)</f>
        <v>6942.1150915344615</v>
      </c>
      <c r="M212" s="31">
        <f t="shared" si="34"/>
        <v>12</v>
      </c>
      <c r="N212" s="31">
        <f t="shared" si="35"/>
        <v>0</v>
      </c>
      <c r="O212" s="31">
        <f t="shared" si="36"/>
        <v>-2.25</v>
      </c>
      <c r="P212" s="62"/>
      <c r="Q212" s="31">
        <f t="shared" si="29"/>
        <v>-9.4187204844152177</v>
      </c>
      <c r="R212" s="31">
        <f>SUM($Q$36:Q212)</f>
        <v>-2253.0948052570734</v>
      </c>
      <c r="S212" s="83">
        <f>IF($L$2&lt;&gt;1,-(R212-$R$36)/B212*12/$Q$36,0)</f>
        <v>-0.18982977126802533</v>
      </c>
      <c r="T212" s="31">
        <f>SUMPRODUCT($Q$36:Q212,$E$36:E212)/E212-R212</f>
        <v>-1339.0514608411308</v>
      </c>
      <c r="U212" s="31">
        <f t="shared" si="30"/>
        <v>2042.7329630027834</v>
      </c>
      <c r="V212" s="31">
        <f t="shared" si="31"/>
        <v>2638.1329630027835</v>
      </c>
      <c r="W212" s="80" cm="1">
        <f t="array" ref="W212">IF($L$2&lt;&gt;1,IRR(IF(ROW($Q$36:Q212)=ROW(Q212),Q212+L212-K212,$Q$36:Q212),W211/12)*12,0)</f>
        <v>6.4877358393633067E-2</v>
      </c>
      <c r="X212" s="83">
        <f>(1+W212/12)^(B212)-1</f>
        <v>1.5830519157203389</v>
      </c>
    </row>
    <row r="213" spans="2:24" x14ac:dyDescent="0.25">
      <c r="B213" s="33">
        <v>177</v>
      </c>
      <c r="C213" s="81">
        <f t="shared" si="27"/>
        <v>14.75</v>
      </c>
      <c r="D213" s="105">
        <f t="shared" si="28"/>
        <v>3.9789301544717048E-3</v>
      </c>
      <c r="E213" s="106">
        <f t="shared" si="32"/>
        <v>0.4951605522161126</v>
      </c>
      <c r="F213" s="60">
        <f>rate</f>
        <v>3.2737397821989145E-3</v>
      </c>
      <c r="G213" s="31">
        <f>IF(AND(B212&gt;=gracia,12*años+gracia-B212&gt;0,$L$2&lt;&gt;1),PMT(F212,12*años-B212+gracia,-K212),0)</f>
        <v>19.168720484415221</v>
      </c>
      <c r="H213" s="31">
        <f>IF(AND(12*años+gracia-B212&gt;0,$L$2&lt;&gt;1),K212*F213,0)</f>
        <v>8.6632560853327529</v>
      </c>
      <c r="I213" s="31">
        <f>IF(AND(12*años+gracia-B212&gt;0,$L$2&lt;&gt;1),G213-H213,0)</f>
        <v>10.505464399082468</v>
      </c>
      <c r="J213" s="62"/>
      <c r="K213" s="61">
        <f t="shared" si="33"/>
        <v>2635.7818588755222</v>
      </c>
      <c r="L213" s="61">
        <f>L212*(1+$J$17)^(1/12)</f>
        <v>6959.2362201405658</v>
      </c>
      <c r="M213" s="31">
        <f t="shared" si="34"/>
        <v>12</v>
      </c>
      <c r="N213" s="31">
        <f t="shared" si="35"/>
        <v>0</v>
      </c>
      <c r="O213" s="31">
        <f t="shared" si="36"/>
        <v>-2.25</v>
      </c>
      <c r="P213" s="62"/>
      <c r="Q213" s="31">
        <f t="shared" si="29"/>
        <v>-9.4187204844152213</v>
      </c>
      <c r="R213" s="31">
        <f>SUM($Q$36:Q213)</f>
        <v>-2262.5135257414886</v>
      </c>
      <c r="S213" s="83">
        <f>IF($L$2&lt;&gt;1,-(R213-$R$36)/B213*12/$Q$36,0)</f>
        <v>-0.18982977126802533</v>
      </c>
      <c r="T213" s="31">
        <f>SUMPRODUCT($Q$36:Q213,$E$36:E213)/E213-R213</f>
        <v>-1353.3443599385823</v>
      </c>
      <c r="U213" s="31">
        <f t="shared" si="30"/>
        <v>2060.9408355235546</v>
      </c>
      <c r="V213" s="31">
        <f t="shared" si="31"/>
        <v>2656.3408355235547</v>
      </c>
      <c r="W213" s="80" cm="1">
        <f t="array" ref="W213">IF($L$2&lt;&gt;1,IRR(IF(ROW($Q$36:Q213)=ROW(Q213),Q213+L213-K213,$Q$36:Q213),W212/12)*12,0)</f>
        <v>6.4768628385771798E-2</v>
      </c>
      <c r="X213" s="83">
        <f>(1+W213/12)^(B213)-1</f>
        <v>1.5928777164208796</v>
      </c>
    </row>
    <row r="214" spans="2:24" x14ac:dyDescent="0.25">
      <c r="B214" s="33">
        <v>178</v>
      </c>
      <c r="C214" s="81">
        <f t="shared" si="27"/>
        <v>14.833333333333334</v>
      </c>
      <c r="D214" s="105">
        <f t="shared" si="28"/>
        <v>3.9789301544717048E-3</v>
      </c>
      <c r="E214" s="106">
        <f t="shared" si="32"/>
        <v>0.49319815122009331</v>
      </c>
      <c r="F214" s="60">
        <f>rate</f>
        <v>3.2737397821989145E-3</v>
      </c>
      <c r="G214" s="31">
        <f>IF(AND(B213&gt;=gracia,12*años+gracia-B213&gt;0,$L$2&lt;&gt;1),PMT(F213,12*años-B213+gracia,-K213),0)</f>
        <v>19.168720484415218</v>
      </c>
      <c r="H214" s="31">
        <f>IF(AND(12*años+gracia-B213&gt;0,$L$2&lt;&gt;1),K213*F214,0)</f>
        <v>8.6288639285990012</v>
      </c>
      <c r="I214" s="31">
        <f>IF(AND(12*años+gracia-B213&gt;0,$L$2&lt;&gt;1),G214-H214,0)</f>
        <v>10.539856555816216</v>
      </c>
      <c r="J214" s="62"/>
      <c r="K214" s="61">
        <f t="shared" si="33"/>
        <v>2625.242002319706</v>
      </c>
      <c r="L214" s="61">
        <f>L213*(1+$J$17)^(1/12)</f>
        <v>6976.3995740686196</v>
      </c>
      <c r="M214" s="31">
        <f t="shared" si="34"/>
        <v>12</v>
      </c>
      <c r="N214" s="31">
        <f t="shared" si="35"/>
        <v>0</v>
      </c>
      <c r="O214" s="31">
        <f t="shared" si="36"/>
        <v>-2.25</v>
      </c>
      <c r="P214" s="62"/>
      <c r="Q214" s="31">
        <f t="shared" si="29"/>
        <v>-9.4187204844152177</v>
      </c>
      <c r="R214" s="31">
        <f>SUM($Q$36:Q214)</f>
        <v>-2271.9322462259038</v>
      </c>
      <c r="S214" s="83">
        <f>IF($L$2&lt;&gt;1,-(R214-$R$36)/B214*12/$Q$36,0)</f>
        <v>-0.18982977126802533</v>
      </c>
      <c r="T214" s="31">
        <f>SUMPRODUCT($Q$36:Q214,$E$36:E214)/E214-R214</f>
        <v>-1367.731605914199</v>
      </c>
      <c r="U214" s="31">
        <f t="shared" si="30"/>
        <v>2079.2253255230098</v>
      </c>
      <c r="V214" s="31">
        <f t="shared" si="31"/>
        <v>2674.6253255230099</v>
      </c>
      <c r="W214" s="80" cm="1">
        <f t="array" ref="W214">IF($L$2&lt;&gt;1,IRR(IF(ROW($Q$36:Q214)=ROW(Q214),Q214+L214-K214,$Q$36:Q214),W213/12)*12,0)</f>
        <v>6.4660451622957638E-2</v>
      </c>
      <c r="X214" s="83">
        <f>(1+W214/12)^(B214)-1</f>
        <v>1.6027151887236544</v>
      </c>
    </row>
    <row r="215" spans="2:24" x14ac:dyDescent="0.25">
      <c r="B215" s="33">
        <v>179</v>
      </c>
      <c r="C215" s="81">
        <f t="shared" si="27"/>
        <v>14.916666666666666</v>
      </c>
      <c r="D215" s="105">
        <f t="shared" si="28"/>
        <v>3.9789301544717048E-3</v>
      </c>
      <c r="E215" s="106">
        <f t="shared" si="32"/>
        <v>0.49124352753519446</v>
      </c>
      <c r="F215" s="60">
        <f>rate</f>
        <v>3.2737397821989145E-3</v>
      </c>
      <c r="G215" s="31">
        <f>IF(AND(B214&gt;=gracia,12*años+gracia-B214&gt;0,$L$2&lt;&gt;1),PMT(F214,12*años-B214+gracia,-K214),0)</f>
        <v>19.168720484415225</v>
      </c>
      <c r="H215" s="31">
        <f>IF(AND(12*años+gracia-B214&gt;0,$L$2&lt;&gt;1),K214*F215,0)</f>
        <v>8.5943591808935569</v>
      </c>
      <c r="I215" s="31">
        <f>IF(AND(12*años+gracia-B214&gt;0,$L$2&lt;&gt;1),G215-H215,0)</f>
        <v>10.574361303521668</v>
      </c>
      <c r="J215" s="62"/>
      <c r="K215" s="61">
        <f t="shared" si="33"/>
        <v>2614.6676410161845</v>
      </c>
      <c r="L215" s="61">
        <f>L214*(1+$J$17)^(1/12)</f>
        <v>6993.605257457657</v>
      </c>
      <c r="M215" s="31">
        <f t="shared" si="34"/>
        <v>12</v>
      </c>
      <c r="N215" s="31">
        <f t="shared" si="35"/>
        <v>0</v>
      </c>
      <c r="O215" s="31">
        <f t="shared" si="36"/>
        <v>-2.25</v>
      </c>
      <c r="P215" s="62"/>
      <c r="Q215" s="31">
        <f t="shared" si="29"/>
        <v>-9.4187204844152248</v>
      </c>
      <c r="R215" s="31">
        <f>SUM($Q$36:Q215)</f>
        <v>-2281.350966710319</v>
      </c>
      <c r="S215" s="83">
        <f>IF($L$2&lt;&gt;1,-(R215-$R$36)/B215*12/$Q$36,0)</f>
        <v>-0.18982977126802533</v>
      </c>
      <c r="T215" s="31">
        <f>SUMPRODUCT($Q$36:Q215,$E$36:E215)/E215-R215</f>
        <v>-1382.2135741676202</v>
      </c>
      <c r="U215" s="31">
        <f t="shared" si="30"/>
        <v>2097.5866497311536</v>
      </c>
      <c r="V215" s="31">
        <f t="shared" si="31"/>
        <v>2692.9866497311536</v>
      </c>
      <c r="W215" s="80" cm="1">
        <f t="array" ref="W215">IF($L$2&lt;&gt;1,IRR(IF(ROW($Q$36:Q215)=ROW(Q215),Q215+L215-K215,$Q$36:Q215),W214/12)*12,0)</f>
        <v>6.4552826790079898E-2</v>
      </c>
      <c r="X215" s="83">
        <f>(1+W215/12)^(B215)-1</f>
        <v>1.6125644906017227</v>
      </c>
    </row>
    <row r="216" spans="2:24" x14ac:dyDescent="0.25">
      <c r="B216" s="33">
        <v>180</v>
      </c>
      <c r="C216" s="81">
        <f t="shared" si="27"/>
        <v>15</v>
      </c>
      <c r="D216" s="105">
        <f t="shared" si="28"/>
        <v>3.9789301544717048E-3</v>
      </c>
      <c r="E216" s="106">
        <f t="shared" si="32"/>
        <v>0.48929665033867986</v>
      </c>
      <c r="F216" s="60">
        <f>rate</f>
        <v>3.2737397821989145E-3</v>
      </c>
      <c r="G216" s="31">
        <f>IF(AND(B215&gt;=gracia,12*años+gracia-B215&gt;0,$L$2&lt;&gt;1),PMT(F215,12*años-B215+gracia,-K215),0)</f>
        <v>19.168720484415225</v>
      </c>
      <c r="H216" s="31">
        <f>IF(AND(12*años+gracia-B215&gt;0,$L$2&lt;&gt;1),K215*F216,0)</f>
        <v>8.5597414736228732</v>
      </c>
      <c r="I216" s="31">
        <f>IF(AND(12*años+gracia-B215&gt;0,$L$2&lt;&gt;1),G216-H216,0)</f>
        <v>10.608979010792352</v>
      </c>
      <c r="J216" s="62"/>
      <c r="K216" s="61">
        <f t="shared" si="33"/>
        <v>2604.0586620053923</v>
      </c>
      <c r="L216" s="61">
        <f>L215*(1+$J$17)^(1/12)</f>
        <v>7010.853374703549</v>
      </c>
      <c r="M216" s="31">
        <f t="shared" si="34"/>
        <v>12</v>
      </c>
      <c r="N216" s="31">
        <f t="shared" si="35"/>
        <v>0</v>
      </c>
      <c r="O216" s="31">
        <f t="shared" si="36"/>
        <v>-2.25</v>
      </c>
      <c r="P216" s="62"/>
      <c r="Q216" s="31">
        <f t="shared" si="29"/>
        <v>-9.4187204844152248</v>
      </c>
      <c r="R216" s="31">
        <f>SUM($Q$36:Q216)</f>
        <v>-2290.7696871947342</v>
      </c>
      <c r="S216" s="83">
        <f>IF($L$2&lt;&gt;1,-(R216-$R$36)/B216*12/$Q$36,0)</f>
        <v>-0.18982977126802533</v>
      </c>
      <c r="T216" s="31">
        <f>SUMPRODUCT($Q$36:Q216,$E$36:E216)/E216-R216</f>
        <v>-1396.790641592173</v>
      </c>
      <c r="U216" s="31">
        <f t="shared" si="30"/>
        <v>2116.0250255034225</v>
      </c>
      <c r="V216" s="31">
        <f t="shared" si="31"/>
        <v>2711.4250255034226</v>
      </c>
      <c r="W216" s="80" cm="1">
        <f t="array" ref="W216">IF($L$2&lt;&gt;1,IRR(IF(ROW($Q$36:Q216)=ROW(Q216),Q216+L216-K216,$Q$36:Q216),W215/12)*12,0)</f>
        <v>6.444575247732498E-2</v>
      </c>
      <c r="X216" s="83">
        <f>(1+W216/12)^(B216)-1</f>
        <v>1.6224257789313157</v>
      </c>
    </row>
    <row r="217" spans="2:24" x14ac:dyDescent="0.25">
      <c r="B217" s="33">
        <v>181</v>
      </c>
      <c r="C217" s="81">
        <f t="shared" si="27"/>
        <v>15.083333333333334</v>
      </c>
      <c r="D217" s="105">
        <f t="shared" si="28"/>
        <v>3.9789301544717048E-3</v>
      </c>
      <c r="E217" s="106">
        <f t="shared" si="32"/>
        <v>0.48735748892996877</v>
      </c>
      <c r="F217" s="60">
        <f>rate</f>
        <v>3.2737397821989145E-3</v>
      </c>
      <c r="G217" s="31">
        <f>IF(AND(B216&gt;=gracia,12*años+gracia-B216&gt;0,$L$2&lt;&gt;1),PMT(F216,12*años-B216+gracia,-K216),0)</f>
        <v>19.168720484415221</v>
      </c>
      <c r="H217" s="31">
        <f>IF(AND(12*años+gracia-B216&gt;0,$L$2&lt;&gt;1),K216*F217,0)</f>
        <v>8.5250104369867294</v>
      </c>
      <c r="I217" s="31">
        <f>IF(AND(12*años+gracia-B216&gt;0,$L$2&lt;&gt;1),G217-H217,0)</f>
        <v>10.643710047428492</v>
      </c>
      <c r="J217" s="62"/>
      <c r="K217" s="61">
        <f t="shared" si="33"/>
        <v>2593.4149519579637</v>
      </c>
      <c r="L217" s="61">
        <f>L216*(1+$J$17)^(1/12)</f>
        <v>7028.1440304596335</v>
      </c>
      <c r="M217" s="31">
        <f t="shared" si="34"/>
        <v>12</v>
      </c>
      <c r="N217" s="31">
        <f t="shared" si="35"/>
        <v>0</v>
      </c>
      <c r="O217" s="31">
        <f t="shared" si="36"/>
        <v>-2.25</v>
      </c>
      <c r="P217" s="62"/>
      <c r="Q217" s="31">
        <f t="shared" si="29"/>
        <v>-9.4187204844152213</v>
      </c>
      <c r="R217" s="31">
        <f>SUM($Q$36:Q217)</f>
        <v>-2300.1884076791493</v>
      </c>
      <c r="S217" s="83">
        <f>IF($L$2&lt;&gt;1,-(R217-$R$36)/B217*12/$Q$36,0)</f>
        <v>-0.18982977126802533</v>
      </c>
      <c r="T217" s="31">
        <f>SUMPRODUCT($Q$36:Q217,$E$36:E217)/E217-R217</f>
        <v>-1411.4631865808169</v>
      </c>
      <c r="U217" s="31">
        <f t="shared" si="30"/>
        <v>2134.540670822521</v>
      </c>
      <c r="V217" s="31">
        <f t="shared" si="31"/>
        <v>2729.940670822521</v>
      </c>
      <c r="W217" s="80" cm="1">
        <f t="array" ref="W217">IF($L$2&lt;&gt;1,IRR(IF(ROW($Q$36:Q217)=ROW(Q217),Q217+L217-K217,$Q$36:Q217),W216/12)*12,0)</f>
        <v>6.4339227185220338E-2</v>
      </c>
      <c r="X217" s="83">
        <f>(1+W217/12)^(B217)-1</f>
        <v>1.6322992095126616</v>
      </c>
    </row>
    <row r="218" spans="2:24" x14ac:dyDescent="0.25">
      <c r="B218" s="33">
        <v>182</v>
      </c>
      <c r="C218" s="81">
        <f t="shared" si="27"/>
        <v>15.166666666666666</v>
      </c>
      <c r="D218" s="105">
        <f t="shared" si="28"/>
        <v>3.9789301544717048E-3</v>
      </c>
      <c r="E218" s="106">
        <f t="shared" si="32"/>
        <v>0.48542601273015179</v>
      </c>
      <c r="F218" s="60">
        <f>rate</f>
        <v>3.2737397821989145E-3</v>
      </c>
      <c r="G218" s="31">
        <f>IF(AND(B217&gt;=gracia,12*años+gracia-B217&gt;0,$L$2&lt;&gt;1),PMT(F217,12*años-B217+gracia,-K217),0)</f>
        <v>19.168720484415221</v>
      </c>
      <c r="H218" s="31">
        <f>IF(AND(12*años+gracia-B217&gt;0,$L$2&lt;&gt;1),K217*F218,0)</f>
        <v>8.4901656999742716</v>
      </c>
      <c r="I218" s="31">
        <f>IF(AND(12*años+gracia-B217&gt;0,$L$2&lt;&gt;1),G218-H218,0)</f>
        <v>10.67855478444095</v>
      </c>
      <c r="J218" s="62"/>
      <c r="K218" s="61">
        <f t="shared" si="33"/>
        <v>2582.7363971735226</v>
      </c>
      <c r="L218" s="61">
        <f>L217*(1+$J$17)^(1/12)</f>
        <v>7045.4773296373523</v>
      </c>
      <c r="M218" s="31">
        <f t="shared" si="34"/>
        <v>12</v>
      </c>
      <c r="N218" s="31">
        <f t="shared" si="35"/>
        <v>0</v>
      </c>
      <c r="O218" s="31">
        <f t="shared" si="36"/>
        <v>-2.25</v>
      </c>
      <c r="P218" s="62"/>
      <c r="Q218" s="31">
        <f t="shared" si="29"/>
        <v>-9.4187204844152213</v>
      </c>
      <c r="R218" s="31">
        <f>SUM($Q$36:Q218)</f>
        <v>-2309.6071281635645</v>
      </c>
      <c r="S218" s="83">
        <f>IF($L$2&lt;&gt;1,-(R218-$R$36)/B218*12/$Q$36,0)</f>
        <v>-0.18982977126802533</v>
      </c>
      <c r="T218" s="31">
        <f>SUMPRODUCT($Q$36:Q218,$E$36:E218)/E218-R218</f>
        <v>-1426.2315890321106</v>
      </c>
      <c r="U218" s="31">
        <f t="shared" si="30"/>
        <v>2153.1338043002652</v>
      </c>
      <c r="V218" s="31">
        <f t="shared" si="31"/>
        <v>2748.5338043002653</v>
      </c>
      <c r="W218" s="80" cm="1">
        <f t="array" ref="W218">IF($L$2&lt;&gt;1,IRR(IF(ROW($Q$36:Q218)=ROW(Q218),Q218+L218-K218,$Q$36:Q218),W217/12)*12,0)</f>
        <v>6.4233249329494591E-2</v>
      </c>
      <c r="X218" s="83">
        <f>(1+W218/12)^(B218)-1</f>
        <v>1.6421849370918413</v>
      </c>
    </row>
    <row r="219" spans="2:24" x14ac:dyDescent="0.25">
      <c r="B219" s="33">
        <v>183</v>
      </c>
      <c r="C219" s="81">
        <f t="shared" si="27"/>
        <v>15.25</v>
      </c>
      <c r="D219" s="105">
        <f t="shared" si="28"/>
        <v>3.9789301544717048E-3</v>
      </c>
      <c r="E219" s="106">
        <f t="shared" si="32"/>
        <v>0.48350219128150868</v>
      </c>
      <c r="F219" s="60">
        <f>rate</f>
        <v>3.2737397821989145E-3</v>
      </c>
      <c r="G219" s="31">
        <f>IF(AND(B218&gt;=gracia,12*años+gracia-B218&gt;0,$L$2&lt;&gt;1),PMT(F218,12*años-B218+gracia,-K218),0)</f>
        <v>19.168720484415225</v>
      </c>
      <c r="H219" s="31">
        <f>IF(AND(12*años+gracia-B218&gt;0,$L$2&lt;&gt;1),K218*F219,0)</f>
        <v>8.4552068903600563</v>
      </c>
      <c r="I219" s="31">
        <f>IF(AND(12*años+gracia-B218&gt;0,$L$2&lt;&gt;1),G219-H219,0)</f>
        <v>10.713513594055168</v>
      </c>
      <c r="J219" s="62"/>
      <c r="K219" s="61">
        <f t="shared" si="33"/>
        <v>2572.0228835794674</v>
      </c>
      <c r="L219" s="61">
        <f>L218*(1+$J$17)^(1/12)</f>
        <v>7062.8533774068883</v>
      </c>
      <c r="M219" s="31">
        <f t="shared" si="34"/>
        <v>12</v>
      </c>
      <c r="N219" s="31">
        <f t="shared" si="35"/>
        <v>0</v>
      </c>
      <c r="O219" s="31">
        <f t="shared" si="36"/>
        <v>-2.25</v>
      </c>
      <c r="P219" s="62"/>
      <c r="Q219" s="31">
        <f t="shared" si="29"/>
        <v>-9.4187204844152248</v>
      </c>
      <c r="R219" s="31">
        <f>SUM($Q$36:Q219)</f>
        <v>-2319.0258486479797</v>
      </c>
      <c r="S219" s="83">
        <f>IF($L$2&lt;&gt;1,-(R219-$R$36)/B219*12/$Q$36,0)</f>
        <v>-0.18982977126802533</v>
      </c>
      <c r="T219" s="31">
        <f>SUMPRODUCT($Q$36:Q219,$E$36:E219)/E219-R219</f>
        <v>-1441.0962303562033</v>
      </c>
      <c r="U219" s="31">
        <f t="shared" si="30"/>
        <v>2171.8046451794407</v>
      </c>
      <c r="V219" s="31">
        <f t="shared" si="31"/>
        <v>2767.2046451794408</v>
      </c>
      <c r="W219" s="80" cm="1">
        <f t="array" ref="W219">IF($L$2&lt;&gt;1,IRR(IF(ROW($Q$36:Q219)=ROW(Q219),Q219+L219-K219,$Q$36:Q219),W218/12)*12,0)</f>
        <v>6.4127817245689833E-2</v>
      </c>
      <c r="X219" s="83">
        <f>(1+W219/12)^(B219)-1</f>
        <v>1.6520831153813016</v>
      </c>
    </row>
    <row r="220" spans="2:24" x14ac:dyDescent="0.25">
      <c r="B220" s="33">
        <v>184</v>
      </c>
      <c r="C220" s="81">
        <f t="shared" si="27"/>
        <v>15.333333333333334</v>
      </c>
      <c r="D220" s="105">
        <f t="shared" si="28"/>
        <v>3.9789301544717048E-3</v>
      </c>
      <c r="E220" s="106">
        <f t="shared" si="32"/>
        <v>0.48158599424702792</v>
      </c>
      <c r="F220" s="60">
        <f>rate</f>
        <v>3.2737397821989145E-3</v>
      </c>
      <c r="G220" s="31">
        <f>IF(AND(B219&gt;=gracia,12*años+gracia-B219&gt;0,$L$2&lt;&gt;1),PMT(F219,12*años-B219+gracia,-K219),0)</f>
        <v>19.168720484415225</v>
      </c>
      <c r="H220" s="31">
        <f>IF(AND(12*años+gracia-B219&gt;0,$L$2&lt;&gt;1),K219*F220,0)</f>
        <v>8.4201336347000701</v>
      </c>
      <c r="I220" s="31">
        <f>IF(AND(12*años+gracia-B219&gt;0,$L$2&lt;&gt;1),G220-H220,0)</f>
        <v>10.748586849715155</v>
      </c>
      <c r="J220" s="62"/>
      <c r="K220" s="61">
        <f t="shared" si="33"/>
        <v>2561.2742967297522</v>
      </c>
      <c r="L220" s="61">
        <f>L219*(1+$J$17)^(1/12)</f>
        <v>7080.2722791978003</v>
      </c>
      <c r="M220" s="31">
        <f t="shared" si="34"/>
        <v>12</v>
      </c>
      <c r="N220" s="31">
        <f t="shared" si="35"/>
        <v>0</v>
      </c>
      <c r="O220" s="31">
        <f t="shared" si="36"/>
        <v>-2.25</v>
      </c>
      <c r="P220" s="62"/>
      <c r="Q220" s="31">
        <f t="shared" si="29"/>
        <v>-9.4187204844152248</v>
      </c>
      <c r="R220" s="31">
        <f>SUM($Q$36:Q220)</f>
        <v>-2328.4445691323949</v>
      </c>
      <c r="S220" s="83">
        <f>IF($L$2&lt;&gt;1,-(R220-$R$36)/B220*12/$Q$36,0)</f>
        <v>-0.18982977126802533</v>
      </c>
      <c r="T220" s="31">
        <f>SUMPRODUCT($Q$36:Q220,$E$36:E220)/E220-R220</f>
        <v>-1456.0574934808483</v>
      </c>
      <c r="U220" s="31">
        <f t="shared" si="30"/>
        <v>2190.5534133356532</v>
      </c>
      <c r="V220" s="31">
        <f t="shared" si="31"/>
        <v>2785.9534133356533</v>
      </c>
      <c r="W220" s="80" cm="1">
        <f t="array" ref="W220">IF($L$2&lt;&gt;1,IRR(IF(ROW($Q$36:Q220)=ROW(Q220),Q220+L220-K220,$Q$36:Q220),W219/12)*12,0)</f>
        <v>6.4022929193574107E-2</v>
      </c>
      <c r="X220" s="83">
        <f>(1+W220/12)^(B220)-1</f>
        <v>1.6619938970798289</v>
      </c>
    </row>
    <row r="221" spans="2:24" x14ac:dyDescent="0.25">
      <c r="B221" s="33">
        <v>185</v>
      </c>
      <c r="C221" s="81">
        <f t="shared" si="27"/>
        <v>15.416666666666666</v>
      </c>
      <c r="D221" s="105">
        <f t="shared" si="28"/>
        <v>3.9789301544717048E-3</v>
      </c>
      <c r="E221" s="106">
        <f t="shared" si="32"/>
        <v>0.4796773914099286</v>
      </c>
      <c r="F221" s="60">
        <f>rate</f>
        <v>3.2737397821989145E-3</v>
      </c>
      <c r="G221" s="31">
        <f>IF(AND(B220&gt;=gracia,12*años+gracia-B220&gt;0,$L$2&lt;&gt;1),PMT(F220,12*años-B220+gracia,-K220),0)</f>
        <v>19.168720484415221</v>
      </c>
      <c r="H221" s="31">
        <f>IF(AND(12*años+gracia-B220&gt;0,$L$2&lt;&gt;1),K220*F221,0)</f>
        <v>8.3849455583277361</v>
      </c>
      <c r="I221" s="31">
        <f>IF(AND(12*años+gracia-B220&gt;0,$L$2&lt;&gt;1),G221-H221,0)</f>
        <v>10.783774926087485</v>
      </c>
      <c r="J221" s="62"/>
      <c r="K221" s="61">
        <f t="shared" si="33"/>
        <v>2550.4905218036647</v>
      </c>
      <c r="L221" s="61">
        <f>L220*(1+$J$17)^(1/12)</f>
        <v>7097.7341406996657</v>
      </c>
      <c r="M221" s="31">
        <f t="shared" si="34"/>
        <v>12</v>
      </c>
      <c r="N221" s="31">
        <f t="shared" si="35"/>
        <v>0</v>
      </c>
      <c r="O221" s="31">
        <f t="shared" si="36"/>
        <v>-2.25</v>
      </c>
      <c r="P221" s="62"/>
      <c r="Q221" s="31">
        <f t="shared" si="29"/>
        <v>-9.4187204844152213</v>
      </c>
      <c r="R221" s="31">
        <f>SUM($Q$36:Q221)</f>
        <v>-2337.8632896168101</v>
      </c>
      <c r="S221" s="83">
        <f>IF($L$2&lt;&gt;1,-(R221-$R$36)/B221*12/$Q$36,0)</f>
        <v>-0.18982977126802533</v>
      </c>
      <c r="T221" s="31">
        <f>SUMPRODUCT($Q$36:Q221,$E$36:E221)/E221-R221</f>
        <v>-1471.1157628574401</v>
      </c>
      <c r="U221" s="31">
        <f t="shared" si="30"/>
        <v>2209.3803292791908</v>
      </c>
      <c r="V221" s="31">
        <f t="shared" si="31"/>
        <v>2804.7803292791909</v>
      </c>
      <c r="W221" s="80" cm="1">
        <f t="array" ref="W221">IF($L$2&lt;&gt;1,IRR(IF(ROW($Q$36:Q221)=ROW(Q221),Q221+L221-K221,$Q$36:Q221),W220/12)*12,0)</f>
        <v>6.3918583361383341E-2</v>
      </c>
      <c r="X221" s="83">
        <f>(1+W221/12)^(B221)-1</f>
        <v>1.6719174338935248</v>
      </c>
    </row>
    <row r="222" spans="2:24" x14ac:dyDescent="0.25">
      <c r="B222" s="33">
        <v>186</v>
      </c>
      <c r="C222" s="81">
        <f t="shared" si="27"/>
        <v>15.5</v>
      </c>
      <c r="D222" s="105">
        <f t="shared" si="28"/>
        <v>3.9789301544717048E-3</v>
      </c>
      <c r="E222" s="106">
        <f t="shared" si="32"/>
        <v>0.47777635267318375</v>
      </c>
      <c r="F222" s="60">
        <f>rate</f>
        <v>3.2737397821989145E-3</v>
      </c>
      <c r="G222" s="31">
        <f>IF(AND(B221&gt;=gracia,12*años+gracia-B221&gt;0,$L$2&lt;&gt;1),PMT(F221,12*años-B221+gracia,-K221),0)</f>
        <v>19.168720484415221</v>
      </c>
      <c r="H222" s="31">
        <f>IF(AND(12*años+gracia-B221&gt;0,$L$2&lt;&gt;1),K221*F222,0)</f>
        <v>8.3496422853499244</v>
      </c>
      <c r="I222" s="31">
        <f>IF(AND(12*años+gracia-B221&gt;0,$L$2&lt;&gt;1),G222-H222,0)</f>
        <v>10.819078199065297</v>
      </c>
      <c r="J222" s="62"/>
      <c r="K222" s="61">
        <f t="shared" si="33"/>
        <v>2539.6714436045995</v>
      </c>
      <c r="L222" s="61">
        <f>L221*(1+$J$17)^(1/12)</f>
        <v>7115.2390678627207</v>
      </c>
      <c r="M222" s="31">
        <f t="shared" si="34"/>
        <v>12</v>
      </c>
      <c r="N222" s="31">
        <f t="shared" si="35"/>
        <v>0</v>
      </c>
      <c r="O222" s="31">
        <f t="shared" si="36"/>
        <v>-2.25</v>
      </c>
      <c r="P222" s="62"/>
      <c r="Q222" s="31">
        <f t="shared" si="29"/>
        <v>-9.4187204844152213</v>
      </c>
      <c r="R222" s="31">
        <f>SUM($Q$36:Q222)</f>
        <v>-2347.2820101012253</v>
      </c>
      <c r="S222" s="83">
        <f>IF($L$2&lt;&gt;1,-(R222-$R$36)/B222*12/$Q$36,0)</f>
        <v>-0.18982977126802533</v>
      </c>
      <c r="T222" s="31">
        <f>SUMPRODUCT($Q$36:Q222,$E$36:E222)/E222-R222</f>
        <v>-1486.271424467081</v>
      </c>
      <c r="U222" s="31">
        <f t="shared" si="30"/>
        <v>2228.2856141568964</v>
      </c>
      <c r="V222" s="31">
        <f t="shared" si="31"/>
        <v>2823.6856141568965</v>
      </c>
      <c r="W222" s="80" cm="1">
        <f t="array" ref="W222">IF($L$2&lt;&gt;1,IRR(IF(ROW($Q$36:Q222)=ROW(Q222),Q222+L222-K222,$Q$36:Q222),W221/12)*12,0)</f>
        <v>6.3814777869828809E-2</v>
      </c>
      <c r="X222" s="83">
        <f>(1+W222/12)^(B222)-1</f>
        <v>1.6818538765540723</v>
      </c>
    </row>
    <row r="223" spans="2:24" x14ac:dyDescent="0.25">
      <c r="B223" s="33">
        <v>187</v>
      </c>
      <c r="C223" s="81">
        <f t="shared" si="27"/>
        <v>15.583333333333334</v>
      </c>
      <c r="D223" s="105">
        <f t="shared" si="28"/>
        <v>3.9789301544717048E-3</v>
      </c>
      <c r="E223" s="106">
        <f t="shared" si="32"/>
        <v>0.47588284805904574</v>
      </c>
      <c r="F223" s="60">
        <f>rate</f>
        <v>3.2737397821989145E-3</v>
      </c>
      <c r="G223" s="31">
        <f>IF(AND(B222&gt;=gracia,12*años+gracia-B222&gt;0,$L$2&lt;&gt;1),PMT(F222,12*años-B222+gracia,-K222),0)</f>
        <v>19.168720484415225</v>
      </c>
      <c r="H223" s="31">
        <f>IF(AND(12*años+gracia-B222&gt;0,$L$2&lt;&gt;1),K222*F223,0)</f>
        <v>8.3142234386429248</v>
      </c>
      <c r="I223" s="31">
        <f>IF(AND(12*años+gracia-B222&gt;0,$L$2&lt;&gt;1),G223-H223,0)</f>
        <v>10.8544970457723</v>
      </c>
      <c r="J223" s="62"/>
      <c r="K223" s="61">
        <f t="shared" si="33"/>
        <v>2528.8169465588271</v>
      </c>
      <c r="L223" s="61">
        <f>L222*(1+$J$17)^(1/12)</f>
        <v>7132.7871668985044</v>
      </c>
      <c r="M223" s="31">
        <f t="shared" si="34"/>
        <v>12</v>
      </c>
      <c r="N223" s="31">
        <f t="shared" si="35"/>
        <v>0</v>
      </c>
      <c r="O223" s="31">
        <f t="shared" si="36"/>
        <v>-2.25</v>
      </c>
      <c r="P223" s="62"/>
      <c r="Q223" s="31">
        <f t="shared" si="29"/>
        <v>-9.4187204844152248</v>
      </c>
      <c r="R223" s="31">
        <f>SUM($Q$36:Q223)</f>
        <v>-2356.7007305856405</v>
      </c>
      <c r="S223" s="83">
        <f>IF($L$2&lt;&gt;1,-(R223-$R$36)/B223*12/$Q$36,0)</f>
        <v>-0.18982977126802533</v>
      </c>
      <c r="T223" s="31">
        <f>SUMPRODUCT($Q$36:Q223,$E$36:E223)/E223-R223</f>
        <v>-1501.5248658266637</v>
      </c>
      <c r="U223" s="31">
        <f t="shared" si="30"/>
        <v>2247.2694897540368</v>
      </c>
      <c r="V223" s="31">
        <f t="shared" si="31"/>
        <v>2842.6694897540369</v>
      </c>
      <c r="W223" s="80" cm="1">
        <f t="array" ref="W223">IF($L$2&lt;&gt;1,IRR(IF(ROW($Q$36:Q223)=ROW(Q223),Q223+L223-K223,$Q$36:Q223),W222/12)*12,0)</f>
        <v>6.3711510775984692E-2</v>
      </c>
      <c r="X223" s="83">
        <f>(1+W223/12)^(B223)-1</f>
        <v>1.6918033748396151</v>
      </c>
    </row>
    <row r="224" spans="2:24" x14ac:dyDescent="0.25">
      <c r="B224" s="33">
        <v>188</v>
      </c>
      <c r="C224" s="81">
        <f t="shared" si="27"/>
        <v>15.666666666666666</v>
      </c>
      <c r="D224" s="105">
        <f t="shared" si="28"/>
        <v>3.9789301544717048E-3</v>
      </c>
      <c r="E224" s="106">
        <f t="shared" si="32"/>
        <v>0.47399684770857359</v>
      </c>
      <c r="F224" s="60">
        <f>rate</f>
        <v>3.2737397821989145E-3</v>
      </c>
      <c r="G224" s="31">
        <f>IF(AND(B223&gt;=gracia,12*años+gracia-B223&gt;0,$L$2&lt;&gt;1),PMT(F223,12*años-B223+gracia,-K223),0)</f>
        <v>19.168720484415221</v>
      </c>
      <c r="H224" s="31">
        <f>IF(AND(12*años+gracia-B223&gt;0,$L$2&lt;&gt;1),K223*F224,0)</f>
        <v>8.2786886398484185</v>
      </c>
      <c r="I224" s="31">
        <f>IF(AND(12*años+gracia-B223&gt;0,$L$2&lt;&gt;1),G224-H224,0)</f>
        <v>10.890031844566803</v>
      </c>
      <c r="J224" s="62"/>
      <c r="K224" s="61">
        <f t="shared" si="33"/>
        <v>2517.9269147142604</v>
      </c>
      <c r="L224" s="61">
        <f>L223*(1+$J$17)^(1/12)</f>
        <v>7150.378544280502</v>
      </c>
      <c r="M224" s="31">
        <f t="shared" si="34"/>
        <v>12</v>
      </c>
      <c r="N224" s="31">
        <f t="shared" si="35"/>
        <v>0</v>
      </c>
      <c r="O224" s="31">
        <f t="shared" si="36"/>
        <v>-2.25</v>
      </c>
      <c r="P224" s="62"/>
      <c r="Q224" s="31">
        <f t="shared" si="29"/>
        <v>-9.4187204844152213</v>
      </c>
      <c r="R224" s="31">
        <f>SUM($Q$36:Q224)</f>
        <v>-2366.1194510700557</v>
      </c>
      <c r="S224" s="83">
        <f>IF($L$2&lt;&gt;1,-(R224-$R$36)/B224*12/$Q$36,0)</f>
        <v>-0.18982977126802533</v>
      </c>
      <c r="T224" s="31">
        <f>SUMPRODUCT($Q$36:Q224,$E$36:E224)/E224-R224</f>
        <v>-1516.8764759949831</v>
      </c>
      <c r="U224" s="31">
        <f t="shared" si="30"/>
        <v>2266.3321784961863</v>
      </c>
      <c r="V224" s="31">
        <f t="shared" si="31"/>
        <v>2861.7321784961864</v>
      </c>
      <c r="W224" s="80" cm="1">
        <f t="array" ref="W224">IF($L$2&lt;&gt;1,IRR(IF(ROW($Q$36:Q224)=ROW(Q224),Q224+L224-K224,$Q$36:Q224),W223/12)*12,0)</f>
        <v>6.3608780076941152E-2</v>
      </c>
      <c r="X224" s="83">
        <f>(1+W224/12)^(B224)-1</f>
        <v>1.7017660775917771</v>
      </c>
    </row>
    <row r="225" spans="2:24" x14ac:dyDescent="0.25">
      <c r="B225" s="33">
        <v>189</v>
      </c>
      <c r="C225" s="81">
        <f t="shared" si="27"/>
        <v>15.75</v>
      </c>
      <c r="D225" s="105">
        <f t="shared" si="28"/>
        <v>3.9789301544717048E-3</v>
      </c>
      <c r="E225" s="106">
        <f t="shared" si="32"/>
        <v>0.47211832188116204</v>
      </c>
      <c r="F225" s="60">
        <f>rate</f>
        <v>3.2737397821989145E-3</v>
      </c>
      <c r="G225" s="31">
        <f>IF(AND(B224&gt;=gracia,12*años+gracia-B224&gt;0,$L$2&lt;&gt;1),PMT(F224,12*años-B224+gracia,-K224),0)</f>
        <v>19.168720484415218</v>
      </c>
      <c r="H225" s="31">
        <f>IF(AND(12*años+gracia-B224&gt;0,$L$2&lt;&gt;1),K224*F225,0)</f>
        <v>8.2430375093694472</v>
      </c>
      <c r="I225" s="31">
        <f>IF(AND(12*años+gracia-B224&gt;0,$L$2&lt;&gt;1),G225-H225,0)</f>
        <v>10.92568297504577</v>
      </c>
      <c r="J225" s="62"/>
      <c r="K225" s="61">
        <f t="shared" si="33"/>
        <v>2507.0012317392147</v>
      </c>
      <c r="L225" s="61">
        <f>L224*(1+$J$17)^(1/12)</f>
        <v>7168.0133067447896</v>
      </c>
      <c r="M225" s="31">
        <f t="shared" si="34"/>
        <v>12</v>
      </c>
      <c r="N225" s="31">
        <f t="shared" si="35"/>
        <v>0</v>
      </c>
      <c r="O225" s="31">
        <f t="shared" si="36"/>
        <v>-2.25</v>
      </c>
      <c r="P225" s="62"/>
      <c r="Q225" s="31">
        <f t="shared" si="29"/>
        <v>-9.4187204844152177</v>
      </c>
      <c r="R225" s="31">
        <f>SUM($Q$36:Q225)</f>
        <v>-2375.5381715544709</v>
      </c>
      <c r="S225" s="83">
        <f>IF($L$2&lt;&gt;1,-(R225-$R$36)/B225*12/$Q$36,0)</f>
        <v>-0.18982977126802533</v>
      </c>
      <c r="T225" s="31">
        <f>SUMPRODUCT($Q$36:Q225,$E$36:E225)/E225-R225</f>
        <v>-1532.326645578873</v>
      </c>
      <c r="U225" s="31">
        <f t="shared" si="30"/>
        <v>2285.473903451104</v>
      </c>
      <c r="V225" s="31">
        <f t="shared" si="31"/>
        <v>2880.8739034511041</v>
      </c>
      <c r="W225" s="80" cm="1">
        <f t="array" ref="W225">IF($L$2&lt;&gt;1,IRR(IF(ROW($Q$36:Q225)=ROW(Q225),Q225+L225-K225,$Q$36:Q225),W224/12)*12,0)</f>
        <v>6.3506583713348164E-2</v>
      </c>
      <c r="X225" s="83">
        <f>(1+W225/12)^(B225)-1</f>
        <v>1.7117421327357025</v>
      </c>
    </row>
    <row r="226" spans="2:24" x14ac:dyDescent="0.25">
      <c r="B226" s="33">
        <v>190</v>
      </c>
      <c r="C226" s="81">
        <f t="shared" si="27"/>
        <v>15.833333333333334</v>
      </c>
      <c r="D226" s="105">
        <f t="shared" si="28"/>
        <v>3.9789301544717048E-3</v>
      </c>
      <c r="E226" s="106">
        <f t="shared" si="32"/>
        <v>0.47024724095407278</v>
      </c>
      <c r="F226" s="60">
        <f>rate</f>
        <v>3.2737397821989145E-3</v>
      </c>
      <c r="G226" s="31">
        <f>IF(AND(B225&gt;=gracia,12*años+gracia-B225&gt;0,$L$2&lt;&gt;1),PMT(F225,12*años-B225+gracia,-K225),0)</f>
        <v>19.168720484415225</v>
      </c>
      <c r="H226" s="31">
        <f>IF(AND(12*años+gracia-B225&gt;0,$L$2&lt;&gt;1),K225*F226,0)</f>
        <v>8.2072696663663471</v>
      </c>
      <c r="I226" s="31">
        <f>IF(AND(12*años+gracia-B225&gt;0,$L$2&lt;&gt;1),G226-H226,0)</f>
        <v>10.961450818048878</v>
      </c>
      <c r="J226" s="62"/>
      <c r="K226" s="61">
        <f t="shared" si="33"/>
        <v>2496.0397809211659</v>
      </c>
      <c r="L226" s="61">
        <f>L225*(1+$J$17)^(1/12)</f>
        <v>7185.6915612906851</v>
      </c>
      <c r="M226" s="31">
        <f t="shared" si="34"/>
        <v>12</v>
      </c>
      <c r="N226" s="31">
        <f t="shared" si="35"/>
        <v>0</v>
      </c>
      <c r="O226" s="31">
        <f t="shared" si="36"/>
        <v>-2.25</v>
      </c>
      <c r="P226" s="62"/>
      <c r="Q226" s="31">
        <f t="shared" si="29"/>
        <v>-9.4187204844152248</v>
      </c>
      <c r="R226" s="31">
        <f>SUM($Q$36:Q226)</f>
        <v>-2384.9568920388861</v>
      </c>
      <c r="S226" s="83">
        <f>IF($L$2&lt;&gt;1,-(R226-$R$36)/B226*12/$Q$36,0)</f>
        <v>-0.18982977126802533</v>
      </c>
      <c r="T226" s="31">
        <f>SUMPRODUCT($Q$36:Q226,$E$36:E226)/E226-R226</f>
        <v>-1547.8757667393638</v>
      </c>
      <c r="U226" s="31">
        <f t="shared" si="30"/>
        <v>2304.6948883306331</v>
      </c>
      <c r="V226" s="31">
        <f t="shared" si="31"/>
        <v>2900.0948883306332</v>
      </c>
      <c r="W226" s="80" cm="1">
        <f t="array" ref="W226">IF($L$2&lt;&gt;1,IRR(IF(ROW($Q$36:Q226)=ROW(Q226),Q226+L226-K226,$Q$36:Q226),W225/12)*12,0)</f>
        <v>6.3404919572767504E-2</v>
      </c>
      <c r="X226" s="83">
        <f>(1+W226/12)^(B226)-1</f>
        <v>1.7217316872970736</v>
      </c>
    </row>
    <row r="227" spans="2:24" x14ac:dyDescent="0.25">
      <c r="B227" s="33">
        <v>191</v>
      </c>
      <c r="C227" s="81">
        <f t="shared" si="27"/>
        <v>15.916666666666666</v>
      </c>
      <c r="D227" s="105">
        <f t="shared" si="28"/>
        <v>3.9789301544717048E-3</v>
      </c>
      <c r="E227" s="106">
        <f t="shared" si="32"/>
        <v>0.46838357542196701</v>
      </c>
      <c r="F227" s="60">
        <f>rate</f>
        <v>3.2737397821989145E-3</v>
      </c>
      <c r="G227" s="31">
        <f>IF(AND(B226&gt;=gracia,12*años+gracia-B226&gt;0,$L$2&lt;&gt;1),PMT(F226,12*años-B226+gracia,-K226),0)</f>
        <v>19.168720484415221</v>
      </c>
      <c r="H227" s="31">
        <f>IF(AND(12*años+gracia-B226&gt;0,$L$2&lt;&gt;1),K226*F227,0)</f>
        <v>8.1713847287526828</v>
      </c>
      <c r="I227" s="31">
        <f>IF(AND(12*años+gracia-B226&gt;0,$L$2&lt;&gt;1),G227-H227,0)</f>
        <v>10.997335755662538</v>
      </c>
      <c r="J227" s="62"/>
      <c r="K227" s="61">
        <f t="shared" si="33"/>
        <v>2485.0424451655035</v>
      </c>
      <c r="L227" s="61">
        <f>L226*(1+$J$17)^(1/12)</f>
        <v>7203.4134151813942</v>
      </c>
      <c r="M227" s="31">
        <f t="shared" si="34"/>
        <v>12</v>
      </c>
      <c r="N227" s="31">
        <f t="shared" si="35"/>
        <v>0</v>
      </c>
      <c r="O227" s="31">
        <f t="shared" si="36"/>
        <v>-2.25</v>
      </c>
      <c r="P227" s="62"/>
      <c r="Q227" s="31">
        <f t="shared" si="29"/>
        <v>-9.4187204844152213</v>
      </c>
      <c r="R227" s="31">
        <f>SUM($Q$36:Q227)</f>
        <v>-2394.3756125233012</v>
      </c>
      <c r="S227" s="83">
        <f>IF($L$2&lt;&gt;1,-(R227-$R$36)/B227*12/$Q$36,0)</f>
        <v>-0.18982977126802533</v>
      </c>
      <c r="T227" s="31">
        <f>SUMPRODUCT($Q$36:Q227,$E$36:E227)/E227-R227</f>
        <v>-1563.5242331978684</v>
      </c>
      <c r="U227" s="31">
        <f t="shared" si="30"/>
        <v>2323.9953574925894</v>
      </c>
      <c r="V227" s="31">
        <f t="shared" si="31"/>
        <v>2919.3953574925895</v>
      </c>
      <c r="W227" s="80" cm="1">
        <f t="array" ref="W227">IF($L$2&lt;&gt;1,IRR(IF(ROW($Q$36:Q227)=ROW(Q227),Q227+L227-K227,$Q$36:Q227),W226/12)*12,0)</f>
        <v>6.3303785492894171E-2</v>
      </c>
      <c r="X227" s="83">
        <f>(1+W227/12)^(B227)-1</f>
        <v>1.7317348874205614</v>
      </c>
    </row>
    <row r="228" spans="2:24" x14ac:dyDescent="0.25">
      <c r="B228" s="33">
        <v>192</v>
      </c>
      <c r="C228" s="81">
        <f t="shared" si="27"/>
        <v>16</v>
      </c>
      <c r="D228" s="105">
        <f t="shared" si="28"/>
        <v>3.9789301544717048E-3</v>
      </c>
      <c r="E228" s="106">
        <f t="shared" si="32"/>
        <v>0.46652729589644054</v>
      </c>
      <c r="F228" s="60">
        <f>rate</f>
        <v>3.2737397821989145E-3</v>
      </c>
      <c r="G228" s="31">
        <f>IF(AND(B227&gt;=gracia,12*años+gracia-B227&gt;0,$L$2&lt;&gt;1),PMT(F227,12*años-B227+gracia,-K227),0)</f>
        <v>19.168720484415221</v>
      </c>
      <c r="H228" s="31">
        <f>IF(AND(12*años+gracia-B227&gt;0,$L$2&lt;&gt;1),K227*F228,0)</f>
        <v>8.1353823131911742</v>
      </c>
      <c r="I228" s="31">
        <f>IF(AND(12*años+gracia-B227&gt;0,$L$2&lt;&gt;1),G228-H228,0)</f>
        <v>11.033338171224047</v>
      </c>
      <c r="J228" s="62"/>
      <c r="K228" s="61">
        <f t="shared" si="33"/>
        <v>2474.0091069942796</v>
      </c>
      <c r="L228" s="61">
        <f>L227*(1+$J$17)^(1/12)</f>
        <v>7221.1789759446629</v>
      </c>
      <c r="M228" s="31">
        <f t="shared" si="34"/>
        <v>12</v>
      </c>
      <c r="N228" s="31">
        <f t="shared" si="35"/>
        <v>0</v>
      </c>
      <c r="O228" s="31">
        <f t="shared" si="36"/>
        <v>-2.25</v>
      </c>
      <c r="P228" s="62"/>
      <c r="Q228" s="31">
        <f t="shared" si="29"/>
        <v>-9.4187204844152213</v>
      </c>
      <c r="R228" s="31">
        <f>SUM($Q$36:Q228)</f>
        <v>-2403.7943330077164</v>
      </c>
      <c r="S228" s="83">
        <f>IF($L$2&lt;&gt;1,-(R228-$R$36)/B228*12/$Q$36,0)</f>
        <v>-0.18982977126802533</v>
      </c>
      <c r="T228" s="31">
        <f>SUMPRODUCT($Q$36:Q228,$E$36:E228)/E228-R228</f>
        <v>-1579.2724402423869</v>
      </c>
      <c r="U228" s="31">
        <f t="shared" si="30"/>
        <v>2343.3755359426668</v>
      </c>
      <c r="V228" s="31">
        <f t="shared" si="31"/>
        <v>2938.7755359426669</v>
      </c>
      <c r="W228" s="80" cm="1">
        <f t="array" ref="W228">IF($L$2&lt;&gt;1,IRR(IF(ROW($Q$36:Q228)=ROW(Q228),Q228+L228-K228,$Q$36:Q228),W227/12)*12,0)</f>
        <v>6.3203179264628595E-2</v>
      </c>
      <c r="X228" s="83">
        <f>(1+W228/12)^(B228)-1</f>
        <v>1.7417518783868906</v>
      </c>
    </row>
    <row r="229" spans="2:24" x14ac:dyDescent="0.25">
      <c r="B229" s="33">
        <v>193</v>
      </c>
      <c r="C229" s="81">
        <f t="shared" ref="C229:C292" si="37">B229/12</f>
        <v>16.083333333333332</v>
      </c>
      <c r="D229" s="105">
        <f t="shared" ref="D229:D292" si="38">(1+$E$3/360)^30-1-((1+$E$4)^(1/12)-1)</f>
        <v>3.9789301544717048E-3</v>
      </c>
      <c r="E229" s="106">
        <f t="shared" si="32"/>
        <v>0.46467837310555998</v>
      </c>
      <c r="F229" s="60">
        <f>rate</f>
        <v>3.2737397821989145E-3</v>
      </c>
      <c r="G229" s="31">
        <f>IF(AND(B228&gt;=gracia,12*años+gracia-B228&gt;0,$L$2&lt;&gt;1),PMT(F228,12*años-B228+gracia,-K228),0)</f>
        <v>19.168720484415225</v>
      </c>
      <c r="H229" s="31">
        <f>IF(AND(12*años+gracia-B228&gt;0,$L$2&lt;&gt;1),K228*F229,0)</f>
        <v>8.0992620350895841</v>
      </c>
      <c r="I229" s="31">
        <f>IF(AND(12*años+gracia-B228&gt;0,$L$2&lt;&gt;1),G229-H229,0)</f>
        <v>11.069458449325641</v>
      </c>
      <c r="J229" s="62"/>
      <c r="K229" s="61">
        <f t="shared" si="33"/>
        <v>2462.9396485449538</v>
      </c>
      <c r="L229" s="61">
        <f>L228*(1+$J$17)^(1/12)</f>
        <v>7238.9883513734303</v>
      </c>
      <c r="M229" s="31">
        <f t="shared" si="34"/>
        <v>12</v>
      </c>
      <c r="N229" s="31">
        <f t="shared" si="35"/>
        <v>0</v>
      </c>
      <c r="O229" s="31">
        <f t="shared" si="36"/>
        <v>-2.25</v>
      </c>
      <c r="P229" s="62"/>
      <c r="Q229" s="31">
        <f t="shared" ref="Q229:Q292" si="39">P229+O229+N229+M229-J229-G229</f>
        <v>-9.4187204844152248</v>
      </c>
      <c r="R229" s="31">
        <f>SUM($Q$36:Q229)</f>
        <v>-2413.2130534921316</v>
      </c>
      <c r="S229" s="83">
        <f>IF($L$2&lt;&gt;1,-(R229-$R$36)/B229*12/$Q$36,0)</f>
        <v>-0.18982977126802533</v>
      </c>
      <c r="T229" s="31">
        <f>SUMPRODUCT($Q$36:Q229,$E$36:E229)/E229-R229</f>
        <v>-1595.1207847337455</v>
      </c>
      <c r="U229" s="31">
        <f t="shared" ref="U229:U292" si="40">R229-K229+L229</f>
        <v>2362.8356493363453</v>
      </c>
      <c r="V229" s="31">
        <f t="shared" ref="V229:V292" si="41">IF($L$2&lt;&gt;1,U229+$E$30,U229)</f>
        <v>2958.2356493363454</v>
      </c>
      <c r="W229" s="80" cm="1">
        <f t="array" ref="W229">IF($L$2&lt;&gt;1,IRR(IF(ROW($Q$36:Q229)=ROW(Q229),Q229+L229-K229,$Q$36:Q229),W228/12)*12,0)</f>
        <v>6.3103098635010291E-2</v>
      </c>
      <c r="X229" s="83">
        <f>(1+W229/12)^(B229)-1</f>
        <v>1.751782804630083</v>
      </c>
    </row>
    <row r="230" spans="2:24" x14ac:dyDescent="0.25">
      <c r="B230" s="33">
        <v>194</v>
      </c>
      <c r="C230" s="81">
        <f t="shared" si="37"/>
        <v>16.166666666666668</v>
      </c>
      <c r="D230" s="105">
        <f t="shared" si="38"/>
        <v>3.9789301544717048E-3</v>
      </c>
      <c r="E230" s="106">
        <f t="shared" ref="E230:E293" si="42">E229/(1+D230)</f>
        <v>0.46283677789340139</v>
      </c>
      <c r="F230" s="60">
        <f>rate</f>
        <v>3.2737397821989145E-3</v>
      </c>
      <c r="G230" s="31">
        <f>IF(AND(B229&gt;=gracia,12*años+gracia-B229&gt;0,$L$2&lt;&gt;1),PMT(F229,12*años-B229+gracia,-K229),0)</f>
        <v>19.168720484415225</v>
      </c>
      <c r="H230" s="31">
        <f>IF(AND(12*años+gracia-B229&gt;0,$L$2&lt;&gt;1),K229*F230,0)</f>
        <v>8.0630235085966273</v>
      </c>
      <c r="I230" s="31">
        <f>IF(AND(12*años+gracia-B229&gt;0,$L$2&lt;&gt;1),G230-H230,0)</f>
        <v>11.105696975818597</v>
      </c>
      <c r="J230" s="62"/>
      <c r="K230" s="61">
        <f t="shared" ref="K230:K293" si="43">K229-I230-J230</f>
        <v>2451.833951569135</v>
      </c>
      <c r="L230" s="61">
        <f>L229*(1+$J$17)^(1/12)</f>
        <v>7256.841649526481</v>
      </c>
      <c r="M230" s="31">
        <f t="shared" ref="M230:M293" si="44">IF($L$2=3,$J$7*$J$16,0)</f>
        <v>12</v>
      </c>
      <c r="N230" s="31">
        <f t="shared" ref="N230:N293" si="45">-$J$28</f>
        <v>0</v>
      </c>
      <c r="O230" s="31">
        <f t="shared" ref="O230:O293" si="46">IF($L$2&lt;&gt;1,-$E$17-$E$18,0)</f>
        <v>-2.25</v>
      </c>
      <c r="P230" s="62"/>
      <c r="Q230" s="31">
        <f t="shared" si="39"/>
        <v>-9.4187204844152248</v>
      </c>
      <c r="R230" s="31">
        <f>SUM($Q$36:Q230)</f>
        <v>-2422.6317739765468</v>
      </c>
      <c r="S230" s="83">
        <f>IF($L$2&lt;&gt;1,-(R230-$R$36)/B230*12/$Q$36,0)</f>
        <v>-0.18982977126802533</v>
      </c>
      <c r="T230" s="31">
        <f>SUMPRODUCT($Q$36:Q230,$E$36:E230)/E230-R230</f>
        <v>-1611.0696651118524</v>
      </c>
      <c r="U230" s="31">
        <f t="shared" si="40"/>
        <v>2382.3759239807987</v>
      </c>
      <c r="V230" s="31">
        <f t="shared" si="41"/>
        <v>2977.7759239807988</v>
      </c>
      <c r="W230" s="80" cm="1">
        <f t="array" ref="W230">IF($L$2&lt;&gt;1,IRR(IF(ROW($Q$36:Q230)=ROW(Q230),Q230+L230-K230,$Q$36:Q230),W229/12)*12,0)</f>
        <v>6.3003541310034272E-2</v>
      </c>
      <c r="X230" s="83">
        <f>(1+W230/12)^(B230)-1</f>
        <v>1.7618278097544273</v>
      </c>
    </row>
    <row r="231" spans="2:24" x14ac:dyDescent="0.25">
      <c r="B231" s="33">
        <v>195</v>
      </c>
      <c r="C231" s="81">
        <f t="shared" si="37"/>
        <v>16.25</v>
      </c>
      <c r="D231" s="105">
        <f t="shared" si="38"/>
        <v>3.9789301544717048E-3</v>
      </c>
      <c r="E231" s="106">
        <f t="shared" si="42"/>
        <v>0.46100248121959048</v>
      </c>
      <c r="F231" s="60">
        <f>rate</f>
        <v>3.2737397821989145E-3</v>
      </c>
      <c r="G231" s="31">
        <f>IF(AND(B230&gt;=gracia,12*años+gracia-B230&gt;0,$L$2&lt;&gt;1),PMT(F230,12*años-B230+gracia,-K230),0)</f>
        <v>19.168720484415221</v>
      </c>
      <c r="H231" s="31">
        <f>IF(AND(12*años+gracia-B230&gt;0,$L$2&lt;&gt;1),K230*F231,0)</f>
        <v>8.0266663465978443</v>
      </c>
      <c r="I231" s="31">
        <f>IF(AND(12*años+gracia-B230&gt;0,$L$2&lt;&gt;1),G231-H231,0)</f>
        <v>11.142054137817377</v>
      </c>
      <c r="J231" s="62"/>
      <c r="K231" s="61">
        <f t="shared" si="43"/>
        <v>2440.6918974313176</v>
      </c>
      <c r="L231" s="61">
        <f>L230*(1+$J$17)^(1/12)</f>
        <v>7274.7389787291022</v>
      </c>
      <c r="M231" s="31">
        <f t="shared" si="44"/>
        <v>12</v>
      </c>
      <c r="N231" s="31">
        <f t="shared" si="45"/>
        <v>0</v>
      </c>
      <c r="O231" s="31">
        <f t="shared" si="46"/>
        <v>-2.25</v>
      </c>
      <c r="P231" s="62"/>
      <c r="Q231" s="31">
        <f t="shared" si="39"/>
        <v>-9.4187204844152213</v>
      </c>
      <c r="R231" s="31">
        <f>SUM($Q$36:Q231)</f>
        <v>-2432.050494460962</v>
      </c>
      <c r="S231" s="83">
        <f>IF($L$2&lt;&gt;1,-(R231-$R$36)/B231*12/$Q$36,0)</f>
        <v>-0.18982977126802533</v>
      </c>
      <c r="T231" s="31">
        <f>SUMPRODUCT($Q$36:Q231,$E$36:E231)/E231-R231</f>
        <v>-1627.1194814019773</v>
      </c>
      <c r="U231" s="31">
        <f t="shared" si="40"/>
        <v>2401.9965868368226</v>
      </c>
      <c r="V231" s="31">
        <f t="shared" si="41"/>
        <v>2997.3965868368227</v>
      </c>
      <c r="W231" s="80" cm="1">
        <f t="array" ref="W231">IF($L$2&lt;&gt;1,IRR(IF(ROW($Q$36:Q231)=ROW(Q231),Q231+L231-K231,$Q$36:Q231),W230/12)*12,0)</f>
        <v>6.2904504957323581E-2</v>
      </c>
      <c r="X231" s="83">
        <f>(1+W231/12)^(B231)-1</f>
        <v>1.7718870365506572</v>
      </c>
    </row>
    <row r="232" spans="2:24" x14ac:dyDescent="0.25">
      <c r="B232" s="33">
        <v>196</v>
      </c>
      <c r="C232" s="81">
        <f t="shared" si="37"/>
        <v>16.333333333333332</v>
      </c>
      <c r="D232" s="105">
        <f t="shared" si="38"/>
        <v>3.9789301544717048E-3</v>
      </c>
      <c r="E232" s="106">
        <f t="shared" si="42"/>
        <v>0.45917545415884459</v>
      </c>
      <c r="F232" s="60">
        <f>rate</f>
        <v>3.2737397821989145E-3</v>
      </c>
      <c r="G232" s="31">
        <f>IF(AND(B231&gt;=gracia,12*años+gracia-B231&gt;0,$L$2&lt;&gt;1),PMT(F231,12*años-B231+gracia,-K231),0)</f>
        <v>19.168720484415225</v>
      </c>
      <c r="H232" s="31">
        <f>IF(AND(12*años+gracia-B231&gt;0,$L$2&lt;&gt;1),K231*F232,0)</f>
        <v>7.9901901607114567</v>
      </c>
      <c r="I232" s="31">
        <f>IF(AND(12*años+gracia-B231&gt;0,$L$2&lt;&gt;1),G232-H232,0)</f>
        <v>11.178530323703768</v>
      </c>
      <c r="J232" s="62"/>
      <c r="K232" s="61">
        <f t="shared" si="43"/>
        <v>2429.5133671076137</v>
      </c>
      <c r="L232" s="61">
        <f>L231*(1+$J$17)^(1/12)</f>
        <v>7292.6804475737408</v>
      </c>
      <c r="M232" s="31">
        <f t="shared" si="44"/>
        <v>12</v>
      </c>
      <c r="N232" s="31">
        <f t="shared" si="45"/>
        <v>0</v>
      </c>
      <c r="O232" s="31">
        <f t="shared" si="46"/>
        <v>-2.25</v>
      </c>
      <c r="P232" s="62"/>
      <c r="Q232" s="31">
        <f t="shared" si="39"/>
        <v>-9.4187204844152248</v>
      </c>
      <c r="R232" s="31">
        <f>SUM($Q$36:Q232)</f>
        <v>-2441.4692149453772</v>
      </c>
      <c r="S232" s="83">
        <f>IF($L$2&lt;&gt;1,-(R232-$R$36)/B232*12/$Q$36,0)</f>
        <v>-0.18982977126802533</v>
      </c>
      <c r="T232" s="31">
        <f>SUMPRODUCT($Q$36:Q232,$E$36:E232)/E232-R232</f>
        <v>-1643.2706352210644</v>
      </c>
      <c r="U232" s="31">
        <f t="shared" si="40"/>
        <v>2421.6978655207495</v>
      </c>
      <c r="V232" s="31">
        <f t="shared" si="41"/>
        <v>3017.0978655207496</v>
      </c>
      <c r="W232" s="80" cm="1">
        <f t="array" ref="W232">IF($L$2&lt;&gt;1,IRR(IF(ROW($Q$36:Q232)=ROW(Q232),Q232+L232-K232,$Q$36:Q232),W231/12)*12,0)</f>
        <v>6.2805987208692571E-2</v>
      </c>
      <c r="X232" s="83">
        <f>(1+W232/12)^(B232)-1</f>
        <v>1.78196062701207</v>
      </c>
    </row>
    <row r="233" spans="2:24" x14ac:dyDescent="0.25">
      <c r="B233" s="33">
        <v>197</v>
      </c>
      <c r="C233" s="81">
        <f t="shared" si="37"/>
        <v>16.416666666666668</v>
      </c>
      <c r="D233" s="105">
        <f t="shared" si="38"/>
        <v>3.9789301544717048E-3</v>
      </c>
      <c r="E233" s="106">
        <f t="shared" si="42"/>
        <v>0.45735566790051668</v>
      </c>
      <c r="F233" s="60">
        <f>rate</f>
        <v>3.2737397821989145E-3</v>
      </c>
      <c r="G233" s="31">
        <f>IF(AND(B232&gt;=gracia,12*años+gracia-B232&gt;0,$L$2&lt;&gt;1),PMT(F232,12*años-B232+gracia,-K232),0)</f>
        <v>19.168720484415225</v>
      </c>
      <c r="H233" s="31">
        <f>IF(AND(12*años+gracia-B232&gt;0,$L$2&lt;&gt;1),K232*F233,0)</f>
        <v>7.9535945612842305</v>
      </c>
      <c r="I233" s="31">
        <f>IF(AND(12*años+gracia-B232&gt;0,$L$2&lt;&gt;1),G233-H233,0)</f>
        <v>11.215125923130994</v>
      </c>
      <c r="J233" s="62"/>
      <c r="K233" s="61">
        <f t="shared" si="43"/>
        <v>2418.2982411844828</v>
      </c>
      <c r="L233" s="61">
        <f>L232*(1+$J$17)^(1/12)</f>
        <v>7310.6661649206617</v>
      </c>
      <c r="M233" s="31">
        <f t="shared" si="44"/>
        <v>12</v>
      </c>
      <c r="N233" s="31">
        <f t="shared" si="45"/>
        <v>0</v>
      </c>
      <c r="O233" s="31">
        <f t="shared" si="46"/>
        <v>-2.25</v>
      </c>
      <c r="P233" s="62"/>
      <c r="Q233" s="31">
        <f t="shared" si="39"/>
        <v>-9.4187204844152248</v>
      </c>
      <c r="R233" s="31">
        <f>SUM($Q$36:Q233)</f>
        <v>-2450.8879354297924</v>
      </c>
      <c r="S233" s="83">
        <f>IF($L$2&lt;&gt;1,-(R233-$R$36)/B233*12/$Q$36,0)</f>
        <v>-0.18982977126802533</v>
      </c>
      <c r="T233" s="31">
        <f>SUMPRODUCT($Q$36:Q233,$E$36:E233)/E233-R233</f>
        <v>-1659.5235297840645</v>
      </c>
      <c r="U233" s="31">
        <f t="shared" si="40"/>
        <v>2441.4799883063861</v>
      </c>
      <c r="V233" s="31">
        <f t="shared" si="41"/>
        <v>3036.8799883063862</v>
      </c>
      <c r="W233" s="80" cm="1">
        <f t="array" ref="W233">IF($L$2&lt;&gt;1,IRR(IF(ROW($Q$36:Q233)=ROW(Q233),Q233+L233-K233,$Q$36:Q233),W232/12)*12,0)</f>
        <v>6.2707985662608934E-2</v>
      </c>
      <c r="X233" s="83">
        <f>(1+W233/12)^(B233)-1</f>
        <v>1.7920487223508532</v>
      </c>
    </row>
    <row r="234" spans="2:24" x14ac:dyDescent="0.25">
      <c r="B234" s="33">
        <v>198</v>
      </c>
      <c r="C234" s="81">
        <f t="shared" si="37"/>
        <v>16.5</v>
      </c>
      <c r="D234" s="105">
        <f t="shared" si="38"/>
        <v>3.9789301544717048E-3</v>
      </c>
      <c r="E234" s="106">
        <f t="shared" si="42"/>
        <v>0.45554309374814089</v>
      </c>
      <c r="F234" s="60">
        <f>rate</f>
        <v>3.2737397821989145E-3</v>
      </c>
      <c r="G234" s="31">
        <f>IF(AND(B233&gt;=gracia,12*años+gracia-B233&gt;0,$L$2&lt;&gt;1),PMT(F233,12*años-B233+gracia,-K233),0)</f>
        <v>19.168720484415221</v>
      </c>
      <c r="H234" s="31">
        <f>IF(AND(12*años+gracia-B233&gt;0,$L$2&lt;&gt;1),K233*F234,0)</f>
        <v>7.9168791573873065</v>
      </c>
      <c r="I234" s="31">
        <f>IF(AND(12*años+gracia-B233&gt;0,$L$2&lt;&gt;1),G234-H234,0)</f>
        <v>11.251841327027915</v>
      </c>
      <c r="J234" s="62"/>
      <c r="K234" s="61">
        <f t="shared" si="43"/>
        <v>2407.0463998574551</v>
      </c>
      <c r="L234" s="61">
        <f>L233*(1+$J$17)^(1/12)</f>
        <v>7328.6962398986088</v>
      </c>
      <c r="M234" s="31">
        <f t="shared" si="44"/>
        <v>12</v>
      </c>
      <c r="N234" s="31">
        <f t="shared" si="45"/>
        <v>0</v>
      </c>
      <c r="O234" s="31">
        <f t="shared" si="46"/>
        <v>-2.25</v>
      </c>
      <c r="P234" s="62"/>
      <c r="Q234" s="31">
        <f t="shared" si="39"/>
        <v>-9.4187204844152213</v>
      </c>
      <c r="R234" s="31">
        <f>SUM($Q$36:Q234)</f>
        <v>-2460.3066559142076</v>
      </c>
      <c r="S234" s="83">
        <f>IF($L$2&lt;&gt;1,-(R234-$R$36)/B234*12/$Q$36,0)</f>
        <v>-0.18982977126802533</v>
      </c>
      <c r="T234" s="31">
        <f>SUMPRODUCT($Q$36:Q234,$E$36:E234)/E234-R234</f>
        <v>-1675.8785699102896</v>
      </c>
      <c r="U234" s="31">
        <f t="shared" si="40"/>
        <v>2461.3431841269467</v>
      </c>
      <c r="V234" s="31">
        <f t="shared" si="41"/>
        <v>3056.7431841269467</v>
      </c>
      <c r="W234" s="80" cm="1">
        <f t="array" ref="W234">IF($L$2&lt;&gt;1,IRR(IF(ROW($Q$36:Q234)=ROW(Q234),Q234+L234-K234,$Q$36:Q234),W233/12)*12,0)</f>
        <v>6.261049788651718E-2</v>
      </c>
      <c r="X234" s="83">
        <f>(1+W234/12)^(B234)-1</f>
        <v>1.8021514630131468</v>
      </c>
    </row>
    <row r="235" spans="2:24" x14ac:dyDescent="0.25">
      <c r="B235" s="33">
        <v>199</v>
      </c>
      <c r="C235" s="81">
        <f t="shared" si="37"/>
        <v>16.583333333333332</v>
      </c>
      <c r="D235" s="105">
        <f t="shared" si="38"/>
        <v>3.9789301544717048E-3</v>
      </c>
      <c r="E235" s="106">
        <f t="shared" si="42"/>
        <v>0.45373770311898004</v>
      </c>
      <c r="F235" s="60">
        <f>rate</f>
        <v>3.2737397821989145E-3</v>
      </c>
      <c r="G235" s="31">
        <f>IF(AND(B234&gt;=gracia,12*años+gracia-B234&gt;0,$L$2&lt;&gt;1),PMT(F234,12*años-B234+gracia,-K234),0)</f>
        <v>19.168720484415225</v>
      </c>
      <c r="H235" s="31">
        <f>IF(AND(12*años+gracia-B234&gt;0,$L$2&lt;&gt;1),K234*F235,0)</f>
        <v>7.8800435568120264</v>
      </c>
      <c r="I235" s="31">
        <f>IF(AND(12*años+gracia-B234&gt;0,$L$2&lt;&gt;1),G235-H235,0)</f>
        <v>11.288676927603198</v>
      </c>
      <c r="J235" s="62"/>
      <c r="K235" s="61">
        <f t="shared" si="43"/>
        <v>2395.7577229298518</v>
      </c>
      <c r="L235" s="61">
        <f>L234*(1+$J$17)^(1/12)</f>
        <v>7346.7707819054667</v>
      </c>
      <c r="M235" s="31">
        <f t="shared" si="44"/>
        <v>12</v>
      </c>
      <c r="N235" s="31">
        <f t="shared" si="45"/>
        <v>0</v>
      </c>
      <c r="O235" s="31">
        <f t="shared" si="46"/>
        <v>-2.25</v>
      </c>
      <c r="P235" s="62"/>
      <c r="Q235" s="31">
        <f t="shared" si="39"/>
        <v>-9.4187204844152248</v>
      </c>
      <c r="R235" s="31">
        <f>SUM($Q$36:Q235)</f>
        <v>-2469.7253763986228</v>
      </c>
      <c r="S235" s="83">
        <f>IF($L$2&lt;&gt;1,-(R235-$R$36)/B235*12/$Q$36,0)</f>
        <v>-0.18982977126802533</v>
      </c>
      <c r="T235" s="31">
        <f>SUMPRODUCT($Q$36:Q235,$E$36:E235)/E235-R235</f>
        <v>-1692.3361620298028</v>
      </c>
      <c r="U235" s="31">
        <f t="shared" si="40"/>
        <v>2481.2876825769927</v>
      </c>
      <c r="V235" s="31">
        <f t="shared" si="41"/>
        <v>3076.6876825769928</v>
      </c>
      <c r="W235" s="80" cm="1">
        <f t="array" ref="W235">IF($L$2&lt;&gt;1,IRR(IF(ROW($Q$36:Q235)=ROW(Q235),Q235+L235-K235,$Q$36:Q235),W234/12)*12,0)</f>
        <v>6.2513521419098161E-2</v>
      </c>
      <c r="X235" s="83">
        <f>(1+W235/12)^(B235)-1</f>
        <v>1.8122689886950298</v>
      </c>
    </row>
    <row r="236" spans="2:24" x14ac:dyDescent="0.25">
      <c r="B236" s="33">
        <v>200</v>
      </c>
      <c r="C236" s="81">
        <f t="shared" si="37"/>
        <v>16.666666666666668</v>
      </c>
      <c r="D236" s="105">
        <f t="shared" si="38"/>
        <v>3.9789301544717048E-3</v>
      </c>
      <c r="E236" s="106">
        <f t="shared" si="42"/>
        <v>0.451939467543575</v>
      </c>
      <c r="F236" s="60">
        <f>rate</f>
        <v>3.2737397821989145E-3</v>
      </c>
      <c r="G236" s="31">
        <f>IF(AND(B235&gt;=gracia,12*años+gracia-B235&gt;0,$L$2&lt;&gt;1),PMT(F235,12*años-B235+gracia,-K235),0)</f>
        <v>19.168720484415225</v>
      </c>
      <c r="H236" s="31">
        <f>IF(AND(12*años+gracia-B235&gt;0,$L$2&lt;&gt;1),K235*F236,0)</f>
        <v>7.8430873660657401</v>
      </c>
      <c r="I236" s="31">
        <f>IF(AND(12*años+gracia-B235&gt;0,$L$2&lt;&gt;1),G236-H236,0)</f>
        <v>11.325633118349485</v>
      </c>
      <c r="J236" s="62"/>
      <c r="K236" s="61">
        <f t="shared" si="43"/>
        <v>2384.4320898115025</v>
      </c>
      <c r="L236" s="61">
        <f>L235*(1+$J$17)^(1/12)</f>
        <v>7364.8899006089241</v>
      </c>
      <c r="M236" s="31">
        <f t="shared" si="44"/>
        <v>12</v>
      </c>
      <c r="N236" s="31">
        <f t="shared" si="45"/>
        <v>0</v>
      </c>
      <c r="O236" s="31">
        <f t="shared" si="46"/>
        <v>-2.25</v>
      </c>
      <c r="P236" s="62"/>
      <c r="Q236" s="31">
        <f t="shared" si="39"/>
        <v>-9.4187204844152248</v>
      </c>
      <c r="R236" s="31">
        <f>SUM($Q$36:Q236)</f>
        <v>-2479.1440968830379</v>
      </c>
      <c r="S236" s="83">
        <f>IF($L$2&lt;&gt;1,-(R236-$R$36)/B236*12/$Q$36,0)</f>
        <v>-0.18982977126802533</v>
      </c>
      <c r="T236" s="31">
        <f>SUMPRODUCT($Q$36:Q236,$E$36:E236)/E236-R236</f>
        <v>-1708.8967141898233</v>
      </c>
      <c r="U236" s="31">
        <f t="shared" si="40"/>
        <v>2501.3137139143837</v>
      </c>
      <c r="V236" s="31">
        <f t="shared" si="41"/>
        <v>3096.7137139143838</v>
      </c>
      <c r="W236" s="80" cm="1">
        <f t="array" ref="W236">IF($L$2&lt;&gt;1,IRR(IF(ROW($Q$36:Q236)=ROW(Q236),Q236+L236-K236,$Q$36:Q236),W235/12)*12,0)</f>
        <v>6.2417053772376718E-2</v>
      </c>
      <c r="X236" s="83">
        <f>(1+W236/12)^(B236)-1</f>
        <v>1.822401438356386</v>
      </c>
    </row>
    <row r="237" spans="2:24" x14ac:dyDescent="0.25">
      <c r="B237" s="33">
        <v>201</v>
      </c>
      <c r="C237" s="81">
        <f t="shared" si="37"/>
        <v>16.75</v>
      </c>
      <c r="D237" s="105">
        <f t="shared" si="38"/>
        <v>3.9789301544717048E-3</v>
      </c>
      <c r="E237" s="106">
        <f t="shared" si="42"/>
        <v>0.45014835866529573</v>
      </c>
      <c r="F237" s="60">
        <f>rate</f>
        <v>3.2737397821989145E-3</v>
      </c>
      <c r="G237" s="31">
        <f>IF(AND(B236&gt;=gracia,12*años+gracia-B236&gt;0,$L$2&lt;&gt;1),PMT(F236,12*años-B236+gracia,-K236),0)</f>
        <v>19.168720484415221</v>
      </c>
      <c r="H237" s="31">
        <f>IF(AND(12*años+gracia-B236&gt;0,$L$2&lt;&gt;1),K236*F237,0)</f>
        <v>7.8060101903676102</v>
      </c>
      <c r="I237" s="31">
        <f>IF(AND(12*años+gracia-B236&gt;0,$L$2&lt;&gt;1),G237-H237,0)</f>
        <v>11.362710294047611</v>
      </c>
      <c r="J237" s="62"/>
      <c r="K237" s="61">
        <f t="shared" si="43"/>
        <v>2373.0693795174548</v>
      </c>
      <c r="L237" s="61">
        <f>L236*(1+$J$17)^(1/12)</f>
        <v>7383.0537059471408</v>
      </c>
      <c r="M237" s="31">
        <f t="shared" si="44"/>
        <v>12</v>
      </c>
      <c r="N237" s="31">
        <f t="shared" si="45"/>
        <v>0</v>
      </c>
      <c r="O237" s="31">
        <f t="shared" si="46"/>
        <v>-2.25</v>
      </c>
      <c r="P237" s="62"/>
      <c r="Q237" s="31">
        <f t="shared" si="39"/>
        <v>-9.4187204844152213</v>
      </c>
      <c r="R237" s="31">
        <f>SUM($Q$36:Q237)</f>
        <v>-2488.5628173674531</v>
      </c>
      <c r="S237" s="83">
        <f>IF($L$2&lt;&gt;1,-(R237-$R$36)/B237*12/$Q$36,0)</f>
        <v>-0.18982977126802533</v>
      </c>
      <c r="T237" s="31">
        <f>SUMPRODUCT($Q$36:Q237,$E$36:E237)/E237-R237</f>
        <v>-1725.5606360611591</v>
      </c>
      <c r="U237" s="31">
        <f t="shared" si="40"/>
        <v>2521.4215090622329</v>
      </c>
      <c r="V237" s="31">
        <f t="shared" si="41"/>
        <v>3116.821509062233</v>
      </c>
      <c r="W237" s="80" cm="1">
        <f t="array" ref="W237">IF($L$2&lt;&gt;1,IRR(IF(ROW($Q$36:Q237)=ROW(Q237),Q237+L237-K237,$Q$36:Q237),W236/12)*12,0)</f>
        <v>6.232109243378936E-2</v>
      </c>
      <c r="X237" s="83">
        <f>(1+W237/12)^(B237)-1</f>
        <v>1.8325489502368022</v>
      </c>
    </row>
    <row r="238" spans="2:24" x14ac:dyDescent="0.25">
      <c r="B238" s="33">
        <v>202</v>
      </c>
      <c r="C238" s="81">
        <f t="shared" si="37"/>
        <v>16.833333333333332</v>
      </c>
      <c r="D238" s="105">
        <f t="shared" si="38"/>
        <v>3.9789301544717048E-3</v>
      </c>
      <c r="E238" s="106">
        <f t="shared" si="42"/>
        <v>0.44836434823989396</v>
      </c>
      <c r="F238" s="60">
        <f>rate</f>
        <v>3.2737397821989145E-3</v>
      </c>
      <c r="G238" s="31">
        <f>IF(AND(B237&gt;=gracia,12*años+gracia-B237&gt;0,$L$2&lt;&gt;1),PMT(F237,12*años-B237+gracia,-K237),0)</f>
        <v>19.168720484415225</v>
      </c>
      <c r="H238" s="31">
        <f>IF(AND(12*años+gracia-B237&gt;0,$L$2&lt;&gt;1),K237*F238,0)</f>
        <v>7.7688116336443853</v>
      </c>
      <c r="I238" s="31">
        <f>IF(AND(12*años+gracia-B237&gt;0,$L$2&lt;&gt;1),G238-H238,0)</f>
        <v>11.399908850770839</v>
      </c>
      <c r="J238" s="62"/>
      <c r="K238" s="61">
        <f t="shared" si="43"/>
        <v>2361.669470666684</v>
      </c>
      <c r="L238" s="61">
        <f>L237*(1+$J$17)^(1/12)</f>
        <v>7401.2623081294132</v>
      </c>
      <c r="M238" s="31">
        <f t="shared" si="44"/>
        <v>12</v>
      </c>
      <c r="N238" s="31">
        <f t="shared" si="45"/>
        <v>0</v>
      </c>
      <c r="O238" s="31">
        <f t="shared" si="46"/>
        <v>-2.25</v>
      </c>
      <c r="P238" s="62"/>
      <c r="Q238" s="31">
        <f t="shared" si="39"/>
        <v>-9.4187204844152248</v>
      </c>
      <c r="R238" s="31">
        <f>SUM($Q$36:Q238)</f>
        <v>-2497.9815378518683</v>
      </c>
      <c r="S238" s="83">
        <f>IF($L$2&lt;&gt;1,-(R238-$R$36)/B238*12/$Q$36,0)</f>
        <v>-0.18982977126802533</v>
      </c>
      <c r="T238" s="31">
        <f>SUMPRODUCT($Q$36:Q238,$E$36:E238)/E238-R238</f>
        <v>-1742.3283389446729</v>
      </c>
      <c r="U238" s="31">
        <f t="shared" si="40"/>
        <v>2541.6112996108604</v>
      </c>
      <c r="V238" s="31">
        <f t="shared" si="41"/>
        <v>3137.0112996108605</v>
      </c>
      <c r="W238" s="80" cm="1">
        <f t="array" ref="W238">IF($L$2&lt;&gt;1,IRR(IF(ROW($Q$36:Q238)=ROW(Q238),Q238+L238-K238,$Q$36:Q238),W237/12)*12,0)</f>
        <v>6.2225634868126711E-2</v>
      </c>
      <c r="X238" s="83">
        <f>(1+W238/12)^(B238)-1</f>
        <v>1.8427116618693993</v>
      </c>
    </row>
    <row r="239" spans="2:24" x14ac:dyDescent="0.25">
      <c r="B239" s="33">
        <v>203</v>
      </c>
      <c r="C239" s="81">
        <f t="shared" si="37"/>
        <v>16.916666666666668</v>
      </c>
      <c r="D239" s="105">
        <f t="shared" si="38"/>
        <v>3.9789301544717048E-3</v>
      </c>
      <c r="E239" s="106">
        <f t="shared" si="42"/>
        <v>0.44658740813505804</v>
      </c>
      <c r="F239" s="60">
        <f>rate</f>
        <v>3.2737397821989145E-3</v>
      </c>
      <c r="G239" s="31">
        <f>IF(AND(B238&gt;=gracia,12*años+gracia-B238&gt;0,$L$2&lt;&gt;1),PMT(F238,12*años-B238+gracia,-K238),0)</f>
        <v>19.168720484415225</v>
      </c>
      <c r="H239" s="31">
        <f>IF(AND(12*años+gracia-B238&gt;0,$L$2&lt;&gt;1),K238*F239,0)</f>
        <v>7.7314912985261754</v>
      </c>
      <c r="I239" s="31">
        <f>IF(AND(12*años+gracia-B238&gt;0,$L$2&lt;&gt;1),G239-H239,0)</f>
        <v>11.437229185889048</v>
      </c>
      <c r="J239" s="62"/>
      <c r="K239" s="61">
        <f t="shared" si="43"/>
        <v>2350.232241480795</v>
      </c>
      <c r="L239" s="61">
        <f>L238*(1+$J$17)^(1/12)</f>
        <v>7419.5158176368432</v>
      </c>
      <c r="M239" s="31">
        <f t="shared" si="44"/>
        <v>12</v>
      </c>
      <c r="N239" s="31">
        <f t="shared" si="45"/>
        <v>0</v>
      </c>
      <c r="O239" s="31">
        <f t="shared" si="46"/>
        <v>-2.25</v>
      </c>
      <c r="P239" s="62"/>
      <c r="Q239" s="31">
        <f t="shared" si="39"/>
        <v>-9.4187204844152248</v>
      </c>
      <c r="R239" s="31">
        <f>SUM($Q$36:Q239)</f>
        <v>-2507.4002583362835</v>
      </c>
      <c r="S239" s="83">
        <f>IF($L$2&lt;&gt;1,-(R239-$R$36)/B239*12/$Q$36,0)</f>
        <v>-0.18982977126802533</v>
      </c>
      <c r="T239" s="31">
        <f>SUMPRODUCT($Q$36:Q239,$E$36:E239)/E239-R239</f>
        <v>-1759.2002357777628</v>
      </c>
      <c r="U239" s="31">
        <f t="shared" si="40"/>
        <v>2561.8833178197647</v>
      </c>
      <c r="V239" s="31">
        <f t="shared" si="41"/>
        <v>3157.2833178197648</v>
      </c>
      <c r="W239" s="80" cm="1">
        <f t="array" ref="W239">IF($L$2&lt;&gt;1,IRR(IF(ROW($Q$36:Q239)=ROW(Q239),Q239+L239-K239,$Q$36:Q239),W238/12)*12,0)</f>
        <v>6.2130678519388027E-2</v>
      </c>
      <c r="X239" s="83">
        <f>(1+W239/12)^(B239)-1</f>
        <v>1.8528897100950665</v>
      </c>
    </row>
    <row r="240" spans="2:24" x14ac:dyDescent="0.25">
      <c r="B240" s="33">
        <v>204</v>
      </c>
      <c r="C240" s="81">
        <f t="shared" si="37"/>
        <v>17</v>
      </c>
      <c r="D240" s="105">
        <f t="shared" si="38"/>
        <v>3.9789301544717048E-3</v>
      </c>
      <c r="E240" s="106">
        <f t="shared" si="42"/>
        <v>0.44481751032996908</v>
      </c>
      <c r="F240" s="60">
        <f>rate</f>
        <v>3.2737397821989145E-3</v>
      </c>
      <c r="G240" s="31">
        <f>IF(AND(B239&gt;=gracia,12*años+gracia-B239&gt;0,$L$2&lt;&gt;1),PMT(F239,12*años-B239+gracia,-K239),0)</f>
        <v>19.168720484415221</v>
      </c>
      <c r="H240" s="31">
        <f>IF(AND(12*años+gracia-B239&gt;0,$L$2&lt;&gt;1),K239*F240,0)</f>
        <v>7.6940487863422042</v>
      </c>
      <c r="I240" s="31">
        <f>IF(AND(12*años+gracia-B239&gt;0,$L$2&lt;&gt;1),G240-H240,0)</f>
        <v>11.474671698073017</v>
      </c>
      <c r="J240" s="62"/>
      <c r="K240" s="61">
        <f t="shared" si="43"/>
        <v>2338.7575697827219</v>
      </c>
      <c r="L240" s="61">
        <f>L239*(1+$J$17)^(1/12)</f>
        <v>7437.8143452230097</v>
      </c>
      <c r="M240" s="31">
        <f t="shared" si="44"/>
        <v>12</v>
      </c>
      <c r="N240" s="31">
        <f t="shared" si="45"/>
        <v>0</v>
      </c>
      <c r="O240" s="31">
        <f t="shared" si="46"/>
        <v>-2.25</v>
      </c>
      <c r="P240" s="62"/>
      <c r="Q240" s="31">
        <f t="shared" si="39"/>
        <v>-9.4187204844152213</v>
      </c>
      <c r="R240" s="31">
        <f>SUM($Q$36:Q240)</f>
        <v>-2516.8189788206987</v>
      </c>
      <c r="S240" s="83">
        <f>IF($L$2&lt;&gt;1,-(R240-$R$36)/B240*12/$Q$36,0)</f>
        <v>-0.18982977126802533</v>
      </c>
      <c r="T240" s="31">
        <f>SUMPRODUCT($Q$36:Q240,$E$36:E240)/E240-R240</f>
        <v>-1776.1767411408778</v>
      </c>
      <c r="U240" s="31">
        <f t="shared" si="40"/>
        <v>2582.2377966195891</v>
      </c>
      <c r="V240" s="31">
        <f t="shared" si="41"/>
        <v>3177.6377966195892</v>
      </c>
      <c r="W240" s="80" cm="1">
        <f t="array" ref="W240">IF($L$2&lt;&gt;1,IRR(IF(ROW($Q$36:Q240)=ROW(Q240),Q240+L240-K240,$Q$36:Q240),W239/12)*12,0)</f>
        <v>6.2036220812582421E-2</v>
      </c>
      <c r="X240" s="83">
        <f>(1+W240/12)^(B240)-1</f>
        <v>1.8630832310770993</v>
      </c>
    </row>
    <row r="241" spans="2:24" x14ac:dyDescent="0.25">
      <c r="B241" s="33">
        <v>205</v>
      </c>
      <c r="C241" s="81">
        <f t="shared" si="37"/>
        <v>17.083333333333332</v>
      </c>
      <c r="D241" s="105">
        <f t="shared" si="38"/>
        <v>3.9789301544717048E-3</v>
      </c>
      <c r="E241" s="106">
        <f t="shared" si="42"/>
        <v>0.44305462691485936</v>
      </c>
      <c r="F241" s="60">
        <f>rate</f>
        <v>3.2737397821989145E-3</v>
      </c>
      <c r="G241" s="31">
        <f>IF(AND(B240&gt;=gracia,12*años+gracia-B240&gt;0,$L$2&lt;&gt;1),PMT(F240,12*años-B240+gracia,-K240),0)</f>
        <v>19.168720484415221</v>
      </c>
      <c r="H241" s="31">
        <f>IF(AND(12*años+gracia-B240&gt;0,$L$2&lt;&gt;1),K240*F241,0)</f>
        <v>7.6564836971165509</v>
      </c>
      <c r="I241" s="31">
        <f>IF(AND(12*años+gracia-B240&gt;0,$L$2&lt;&gt;1),G241-H241,0)</f>
        <v>11.51223678729867</v>
      </c>
      <c r="J241" s="62"/>
      <c r="K241" s="61">
        <f t="shared" si="43"/>
        <v>2327.2453329954233</v>
      </c>
      <c r="L241" s="61">
        <f>L240*(1+$J$17)^(1/12)</f>
        <v>7456.1580019146395</v>
      </c>
      <c r="M241" s="31">
        <f t="shared" si="44"/>
        <v>12</v>
      </c>
      <c r="N241" s="31">
        <f t="shared" si="45"/>
        <v>0</v>
      </c>
      <c r="O241" s="31">
        <f t="shared" si="46"/>
        <v>-2.25</v>
      </c>
      <c r="P241" s="62"/>
      <c r="Q241" s="31">
        <f t="shared" si="39"/>
        <v>-9.4187204844152213</v>
      </c>
      <c r="R241" s="31">
        <f>SUM($Q$36:Q241)</f>
        <v>-2526.2376993051139</v>
      </c>
      <c r="S241" s="83">
        <f>IF($L$2&lt;&gt;1,-(R241-$R$36)/B241*12/$Q$36,0)</f>
        <v>-0.18982977126802533</v>
      </c>
      <c r="T241" s="31">
        <f>SUMPRODUCT($Q$36:Q241,$E$36:E241)/E241-R241</f>
        <v>-1793.2582712640506</v>
      </c>
      <c r="U241" s="31">
        <f t="shared" si="40"/>
        <v>2602.6749696141023</v>
      </c>
      <c r="V241" s="31">
        <f t="shared" si="41"/>
        <v>3198.0749696141024</v>
      </c>
      <c r="W241" s="80" cm="1">
        <f t="array" ref="W241">IF($L$2&lt;&gt;1,IRR(IF(ROW($Q$36:Q241)=ROW(Q241),Q241+L241-K241,$Q$36:Q241),W240/12)*12,0)</f>
        <v>6.1942259155402191E-2</v>
      </c>
      <c r="X241" s="83">
        <f>(1+W241/12)^(B241)-1</f>
        <v>1.8732923603135316</v>
      </c>
    </row>
    <row r="242" spans="2:24" x14ac:dyDescent="0.25">
      <c r="B242" s="33">
        <v>206</v>
      </c>
      <c r="C242" s="81">
        <f t="shared" si="37"/>
        <v>17.166666666666668</v>
      </c>
      <c r="D242" s="105">
        <f t="shared" si="38"/>
        <v>3.9789301544717048E-3</v>
      </c>
      <c r="E242" s="106">
        <f t="shared" si="42"/>
        <v>0.44129873009057191</v>
      </c>
      <c r="F242" s="60">
        <f>rate</f>
        <v>3.2737397821989145E-3</v>
      </c>
      <c r="G242" s="31">
        <f>IF(AND(B241&gt;=gracia,12*años+gracia-B241&gt;0,$L$2&lt;&gt;1),PMT(F241,12*años-B241+gracia,-K241),0)</f>
        <v>19.168720484415218</v>
      </c>
      <c r="H242" s="31">
        <f>IF(AND(12*años+gracia-B241&gt;0,$L$2&lt;&gt;1),K241*F242,0)</f>
        <v>7.618795629563877</v>
      </c>
      <c r="I242" s="31">
        <f>IF(AND(12*años+gracia-B241&gt;0,$L$2&lt;&gt;1),G242-H242,0)</f>
        <v>11.549924854851341</v>
      </c>
      <c r="J242" s="62"/>
      <c r="K242" s="61">
        <f t="shared" si="43"/>
        <v>2315.695408140572</v>
      </c>
      <c r="L242" s="61">
        <f>L241*(1+$J$17)^(1/12)</f>
        <v>7474.5468990122818</v>
      </c>
      <c r="M242" s="31">
        <f t="shared" si="44"/>
        <v>12</v>
      </c>
      <c r="N242" s="31">
        <f t="shared" si="45"/>
        <v>0</v>
      </c>
      <c r="O242" s="31">
        <f t="shared" si="46"/>
        <v>-2.25</v>
      </c>
      <c r="P242" s="62"/>
      <c r="Q242" s="31">
        <f t="shared" si="39"/>
        <v>-9.4187204844152177</v>
      </c>
      <c r="R242" s="31">
        <f>SUM($Q$36:Q242)</f>
        <v>-2535.6564197895291</v>
      </c>
      <c r="S242" s="83">
        <f>IF($L$2&lt;&gt;1,-(R242-$R$36)/B242*12/$Q$36,0)</f>
        <v>-0.18982977126802533</v>
      </c>
      <c r="T242" s="31">
        <f>SUMPRODUCT($Q$36:Q242,$E$36:E242)/E242-R242</f>
        <v>-1810.4452440334667</v>
      </c>
      <c r="U242" s="31">
        <f t="shared" si="40"/>
        <v>2623.1950710821811</v>
      </c>
      <c r="V242" s="31">
        <f t="shared" si="41"/>
        <v>3218.5950710821812</v>
      </c>
      <c r="W242" s="80" cm="1">
        <f t="array" ref="W242">IF($L$2&lt;&gt;1,IRR(IF(ROW($Q$36:Q242)=ROW(Q242),Q242+L242-K242,$Q$36:Q242),W241/12)*12,0)</f>
        <v>6.1848790939874831E-2</v>
      </c>
      <c r="X242" s="83">
        <f>(1+W242/12)^(B242)-1</f>
        <v>1.8835172326521157</v>
      </c>
    </row>
    <row r="243" spans="2:24" x14ac:dyDescent="0.25">
      <c r="B243" s="33">
        <v>207</v>
      </c>
      <c r="C243" s="81">
        <f t="shared" si="37"/>
        <v>17.25</v>
      </c>
      <c r="D243" s="105">
        <f t="shared" si="38"/>
        <v>3.9789301544717048E-3</v>
      </c>
      <c r="E243" s="106">
        <f t="shared" si="42"/>
        <v>0.4395497921681224</v>
      </c>
      <c r="F243" s="60">
        <f>rate</f>
        <v>3.2737397821989145E-3</v>
      </c>
      <c r="G243" s="31">
        <f>IF(AND(B242&gt;=gracia,12*años+gracia-B242&gt;0,$L$2&lt;&gt;1),PMT(F242,12*años-B242+gracia,-K242),0)</f>
        <v>19.168720484415225</v>
      </c>
      <c r="H243" s="31">
        <f>IF(AND(12*años+gracia-B242&gt;0,$L$2&lt;&gt;1),K242*F243,0)</f>
        <v>7.5809841810851424</v>
      </c>
      <c r="I243" s="31">
        <f>IF(AND(12*años+gracia-B242&gt;0,$L$2&lt;&gt;1),G243-H243,0)</f>
        <v>11.587736303330082</v>
      </c>
      <c r="J243" s="62"/>
      <c r="K243" s="61">
        <f t="shared" si="43"/>
        <v>2304.1076718372419</v>
      </c>
      <c r="L243" s="61">
        <f>L242*(1+$J$17)^(1/12)</f>
        <v>7492.9811480909821</v>
      </c>
      <c r="M243" s="31">
        <f t="shared" si="44"/>
        <v>12</v>
      </c>
      <c r="N243" s="31">
        <f t="shared" si="45"/>
        <v>0</v>
      </c>
      <c r="O243" s="31">
        <f t="shared" si="46"/>
        <v>-2.25</v>
      </c>
      <c r="P243" s="62"/>
      <c r="Q243" s="31">
        <f t="shared" si="39"/>
        <v>-9.4187204844152248</v>
      </c>
      <c r="R243" s="31">
        <f>SUM($Q$36:Q243)</f>
        <v>-2545.0751402739443</v>
      </c>
      <c r="S243" s="83">
        <f>IF($L$2&lt;&gt;1,-(R243-$R$36)/B243*12/$Q$36,0)</f>
        <v>-0.18982977126802533</v>
      </c>
      <c r="T243" s="31">
        <f>SUMPRODUCT($Q$36:Q243,$E$36:E243)/E243-R243</f>
        <v>-1827.7380789980516</v>
      </c>
      <c r="U243" s="31">
        <f t="shared" si="40"/>
        <v>2643.7983359797954</v>
      </c>
      <c r="V243" s="31">
        <f t="shared" si="41"/>
        <v>3239.1983359797955</v>
      </c>
      <c r="W243" s="80" cm="1">
        <f t="array" ref="W243">IF($L$2&lt;&gt;1,IRR(IF(ROW($Q$36:Q243)=ROW(Q243),Q243+L243-K243,$Q$36:Q243),W242/12)*12,0)</f>
        <v>6.1755813543892479E-2</v>
      </c>
      <c r="X243" s="83">
        <f>(1+W243/12)^(B243)-1</f>
        <v>1.8937579823025947</v>
      </c>
    </row>
    <row r="244" spans="2:24" x14ac:dyDescent="0.25">
      <c r="B244" s="33">
        <v>208</v>
      </c>
      <c r="C244" s="81">
        <f t="shared" si="37"/>
        <v>17.333333333333332</v>
      </c>
      <c r="D244" s="105">
        <f t="shared" si="38"/>
        <v>3.9789301544717048E-3</v>
      </c>
      <c r="E244" s="106">
        <f t="shared" si="42"/>
        <v>0.43780778556826233</v>
      </c>
      <c r="F244" s="60">
        <f>rate</f>
        <v>3.2737397821989145E-3</v>
      </c>
      <c r="G244" s="31">
        <f>IF(AND(B243&gt;=gracia,12*años+gracia-B243&gt;0,$L$2&lt;&gt;1),PMT(F243,12*años-B243+gracia,-K243),0)</f>
        <v>19.168720484415225</v>
      </c>
      <c r="H244" s="31">
        <f>IF(AND(12*años+gracia-B243&gt;0,$L$2&lt;&gt;1),K243*F244,0)</f>
        <v>7.5430489477633005</v>
      </c>
      <c r="I244" s="31">
        <f>IF(AND(12*años+gracia-B243&gt;0,$L$2&lt;&gt;1),G244-H244,0)</f>
        <v>11.625671536651925</v>
      </c>
      <c r="J244" s="62"/>
      <c r="K244" s="61">
        <f t="shared" si="43"/>
        <v>2292.4820003005898</v>
      </c>
      <c r="L244" s="61">
        <f>L243*(1+$J$17)^(1/12)</f>
        <v>7511.46086100096</v>
      </c>
      <c r="M244" s="31">
        <f t="shared" si="44"/>
        <v>12</v>
      </c>
      <c r="N244" s="31">
        <f t="shared" si="45"/>
        <v>0</v>
      </c>
      <c r="O244" s="31">
        <f t="shared" si="46"/>
        <v>-2.25</v>
      </c>
      <c r="P244" s="62"/>
      <c r="Q244" s="31">
        <f t="shared" si="39"/>
        <v>-9.4187204844152248</v>
      </c>
      <c r="R244" s="31">
        <f>SUM($Q$36:Q244)</f>
        <v>-2554.4938607583595</v>
      </c>
      <c r="S244" s="83">
        <f>IF($L$2&lt;&gt;1,-(R244-$R$36)/B244*12/$Q$36,0)</f>
        <v>-0.18982977126802533</v>
      </c>
      <c r="T244" s="31">
        <f>SUMPRODUCT($Q$36:Q244,$E$36:E244)/E244-R244</f>
        <v>-1845.1371973760856</v>
      </c>
      <c r="U244" s="31">
        <f t="shared" si="40"/>
        <v>2664.4849999420112</v>
      </c>
      <c r="V244" s="31">
        <f t="shared" si="41"/>
        <v>3259.8849999420113</v>
      </c>
      <c r="W244" s="80" cm="1">
        <f t="array" ref="W244">IF($L$2&lt;&gt;1,IRR(IF(ROW($Q$36:Q244)=ROW(Q244),Q244+L244-K244,$Q$36:Q244),W243/12)*12,0)</f>
        <v>6.166332433270405E-2</v>
      </c>
      <c r="X244" s="83">
        <f>(1+W244/12)^(B244)-1</f>
        <v>1.9040147428497796</v>
      </c>
    </row>
    <row r="245" spans="2:24" x14ac:dyDescent="0.25">
      <c r="B245" s="33">
        <v>209</v>
      </c>
      <c r="C245" s="81">
        <f t="shared" si="37"/>
        <v>17.416666666666668</v>
      </c>
      <c r="D245" s="105">
        <f t="shared" si="38"/>
        <v>3.9789301544717048E-3</v>
      </c>
      <c r="E245" s="106">
        <f t="shared" si="42"/>
        <v>0.43607268282104428</v>
      </c>
      <c r="F245" s="60">
        <f>rate</f>
        <v>3.2737397821989145E-3</v>
      </c>
      <c r="G245" s="31">
        <f>IF(AND(B244&gt;=gracia,12*años+gracia-B244&gt;0,$L$2&lt;&gt;1),PMT(F244,12*años-B244+gracia,-K244),0)</f>
        <v>19.168720484415221</v>
      </c>
      <c r="H245" s="31">
        <f>IF(AND(12*años+gracia-B244&gt;0,$L$2&lt;&gt;1),K244*F245,0)</f>
        <v>7.5049895243589848</v>
      </c>
      <c r="I245" s="31">
        <f>IF(AND(12*años+gracia-B244&gt;0,$L$2&lt;&gt;1),G245-H245,0)</f>
        <v>11.663730960056236</v>
      </c>
      <c r="J245" s="62"/>
      <c r="K245" s="61">
        <f t="shared" si="43"/>
        <v>2280.8182693405333</v>
      </c>
      <c r="L245" s="61">
        <f>L244*(1+$J$17)^(1/12)</f>
        <v>7529.9861498682885</v>
      </c>
      <c r="M245" s="31">
        <f t="shared" si="44"/>
        <v>12</v>
      </c>
      <c r="N245" s="31">
        <f t="shared" si="45"/>
        <v>0</v>
      </c>
      <c r="O245" s="31">
        <f t="shared" si="46"/>
        <v>-2.25</v>
      </c>
      <c r="P245" s="62"/>
      <c r="Q245" s="31">
        <f t="shared" si="39"/>
        <v>-9.4187204844152213</v>
      </c>
      <c r="R245" s="31">
        <f>SUM($Q$36:Q245)</f>
        <v>-2563.9125812427746</v>
      </c>
      <c r="S245" s="83">
        <f>IF($L$2&lt;&gt;1,-(R245-$R$36)/B245*12/$Q$36,0)</f>
        <v>-0.18982977126802533</v>
      </c>
      <c r="T245" s="31">
        <f>SUMPRODUCT($Q$36:Q245,$E$36:E245)/E245-R245</f>
        <v>-1862.6430220618477</v>
      </c>
      <c r="U245" s="31">
        <f t="shared" si="40"/>
        <v>2685.2552992849805</v>
      </c>
      <c r="V245" s="31">
        <f t="shared" si="41"/>
        <v>3280.6552992849806</v>
      </c>
      <c r="W245" s="80" cm="1">
        <f t="array" ref="W245">IF($L$2&lt;&gt;1,IRR(IF(ROW($Q$36:Q245)=ROW(Q245),Q245+L245-K245,$Q$36:Q245),W244/12)*12,0)</f>
        <v>6.1571320660327444E-2</v>
      </c>
      <c r="X245" s="83">
        <f>(1+W245/12)^(B245)-1</f>
        <v>1.9142876472669186</v>
      </c>
    </row>
    <row r="246" spans="2:24" x14ac:dyDescent="0.25">
      <c r="B246" s="33">
        <v>210</v>
      </c>
      <c r="C246" s="81">
        <f t="shared" si="37"/>
        <v>17.5</v>
      </c>
      <c r="D246" s="105">
        <f t="shared" si="38"/>
        <v>3.9789301544717048E-3</v>
      </c>
      <c r="E246" s="106">
        <f t="shared" si="42"/>
        <v>0.43434445656538861</v>
      </c>
      <c r="F246" s="60">
        <f>rate</f>
        <v>3.2737397821989145E-3</v>
      </c>
      <c r="G246" s="31">
        <f>IF(AND(B245&gt;=gracia,12*años+gracia-B245&gt;0,$L$2&lt;&gt;1),PMT(F245,12*años-B245+gracia,-K245),0)</f>
        <v>19.168720484415221</v>
      </c>
      <c r="H246" s="31">
        <f>IF(AND(12*años+gracia-B245&gt;0,$L$2&lt;&gt;1),K245*F246,0)</f>
        <v>7.4668055043061825</v>
      </c>
      <c r="I246" s="31">
        <f>IF(AND(12*años+gracia-B245&gt;0,$L$2&lt;&gt;1),G246-H246,0)</f>
        <v>11.701914980109038</v>
      </c>
      <c r="J246" s="62"/>
      <c r="K246" s="61">
        <f t="shared" si="43"/>
        <v>2269.1163543604243</v>
      </c>
      <c r="L246" s="61">
        <f>L245*(1+$J$17)^(1/12)</f>
        <v>7548.5571270955743</v>
      </c>
      <c r="M246" s="31">
        <f t="shared" si="44"/>
        <v>12</v>
      </c>
      <c r="N246" s="31">
        <f t="shared" si="45"/>
        <v>0</v>
      </c>
      <c r="O246" s="31">
        <f t="shared" si="46"/>
        <v>-2.25</v>
      </c>
      <c r="P246" s="62"/>
      <c r="Q246" s="31">
        <f t="shared" si="39"/>
        <v>-9.4187204844152213</v>
      </c>
      <c r="R246" s="31">
        <f>SUM($Q$36:Q246)</f>
        <v>-2573.3313017271898</v>
      </c>
      <c r="S246" s="83">
        <f>IF($L$2&lt;&gt;1,-(R246-$R$36)/B246*12/$Q$36,0)</f>
        <v>-0.18982977126802533</v>
      </c>
      <c r="T246" s="31">
        <f>SUMPRODUCT($Q$36:Q246,$E$36:E246)/E246-R246</f>
        <v>-1880.2559776322819</v>
      </c>
      <c r="U246" s="31">
        <f t="shared" si="40"/>
        <v>2706.1094710079606</v>
      </c>
      <c r="V246" s="31">
        <f t="shared" si="41"/>
        <v>3301.5094710079607</v>
      </c>
      <c r="W246" s="80" cm="1">
        <f t="array" ref="W246">IF($L$2&lt;&gt;1,IRR(IF(ROW($Q$36:Q246)=ROW(Q246),Q246+L246-K246,$Q$36:Q246),W245/12)*12,0)</f>
        <v>6.1479799870900464E-2</v>
      </c>
      <c r="X246" s="83">
        <f>(1+W246/12)^(B246)-1</f>
        <v>1.9245768279275208</v>
      </c>
    </row>
    <row r="247" spans="2:24" x14ac:dyDescent="0.25">
      <c r="B247" s="33">
        <v>211</v>
      </c>
      <c r="C247" s="81">
        <f t="shared" si="37"/>
        <v>17.583333333333332</v>
      </c>
      <c r="D247" s="105">
        <f t="shared" si="38"/>
        <v>3.9789301544717048E-3</v>
      </c>
      <c r="E247" s="106">
        <f t="shared" si="42"/>
        <v>0.43262307954865209</v>
      </c>
      <c r="F247" s="60">
        <f>rate</f>
        <v>3.2737397821989145E-3</v>
      </c>
      <c r="G247" s="31">
        <f>IF(AND(B246&gt;=gracia,12*años+gracia-B246&gt;0,$L$2&lt;&gt;1),PMT(F246,12*años-B246+gracia,-K246),0)</f>
        <v>19.168720484415218</v>
      </c>
      <c r="H247" s="31">
        <f>IF(AND(12*años+gracia-B246&gt;0,$L$2&lt;&gt;1),K246*F247,0)</f>
        <v>7.4284964797078903</v>
      </c>
      <c r="I247" s="31">
        <f>IF(AND(12*años+gracia-B246&gt;0,$L$2&lt;&gt;1),G247-H247,0)</f>
        <v>11.740224004707327</v>
      </c>
      <c r="J247" s="62"/>
      <c r="K247" s="61">
        <f t="shared" si="43"/>
        <v>2257.3761303557171</v>
      </c>
      <c r="L247" s="61">
        <f>L246*(1+$J$17)^(1/12)</f>
        <v>7567.1739053626379</v>
      </c>
      <c r="M247" s="31">
        <f t="shared" si="44"/>
        <v>12</v>
      </c>
      <c r="N247" s="31">
        <f t="shared" si="45"/>
        <v>0</v>
      </c>
      <c r="O247" s="31">
        <f t="shared" si="46"/>
        <v>-2.25</v>
      </c>
      <c r="P247" s="62"/>
      <c r="Q247" s="31">
        <f t="shared" si="39"/>
        <v>-9.4187204844152177</v>
      </c>
      <c r="R247" s="31">
        <f>SUM($Q$36:Q247)</f>
        <v>-2582.750022211605</v>
      </c>
      <c r="S247" s="83">
        <f>IF($L$2&lt;&gt;1,-(R247-$R$36)/B247*12/$Q$36,0)</f>
        <v>-0.18982977126802533</v>
      </c>
      <c r="T247" s="31">
        <f>SUMPRODUCT($Q$36:Q247,$E$36:E247)/E247-R247</f>
        <v>-1897.976490353697</v>
      </c>
      <c r="U247" s="31">
        <f t="shared" si="40"/>
        <v>2727.0477527953162</v>
      </c>
      <c r="V247" s="31">
        <f t="shared" si="41"/>
        <v>3322.4477527953163</v>
      </c>
      <c r="W247" s="80" cm="1">
        <f t="array" ref="W247">IF($L$2&lt;&gt;1,IRR(IF(ROW($Q$36:Q247)=ROW(Q247),Q247+L247-K247,$Q$36:Q247),W246/12)*12,0)</f>
        <v>6.1388759299959794E-2</v>
      </c>
      <c r="X247" s="83">
        <f>(1+W247/12)^(B247)-1</f>
        <v>1.9348824166179095</v>
      </c>
    </row>
    <row r="248" spans="2:24" x14ac:dyDescent="0.25">
      <c r="B248" s="33">
        <v>212</v>
      </c>
      <c r="C248" s="81">
        <f t="shared" si="37"/>
        <v>17.666666666666668</v>
      </c>
      <c r="D248" s="105">
        <f t="shared" si="38"/>
        <v>3.9789301544717048E-3</v>
      </c>
      <c r="E248" s="106">
        <f t="shared" si="42"/>
        <v>0.430908524626198</v>
      </c>
      <c r="F248" s="60">
        <f>rate</f>
        <v>3.2737397821989145E-3</v>
      </c>
      <c r="G248" s="31">
        <f>IF(AND(B247&gt;=gracia,12*años+gracia-B247&gt;0,$L$2&lt;&gt;1),PMT(F247,12*años-B247+gracia,-K247),0)</f>
        <v>19.168720484415221</v>
      </c>
      <c r="H248" s="31">
        <f>IF(AND(12*años+gracia-B247&gt;0,$L$2&lt;&gt;1),K247*F248,0)</f>
        <v>7.3900620413317535</v>
      </c>
      <c r="I248" s="31">
        <f>IF(AND(12*años+gracia-B247&gt;0,$L$2&lt;&gt;1),G248-H248,0)</f>
        <v>11.778658443083469</v>
      </c>
      <c r="J248" s="62"/>
      <c r="K248" s="61">
        <f t="shared" si="43"/>
        <v>2245.5974719126339</v>
      </c>
      <c r="L248" s="61">
        <f>L247*(1+$J$17)^(1/12)</f>
        <v>7585.8365976271989</v>
      </c>
      <c r="M248" s="31">
        <f t="shared" si="44"/>
        <v>12</v>
      </c>
      <c r="N248" s="31">
        <f t="shared" si="45"/>
        <v>0</v>
      </c>
      <c r="O248" s="31">
        <f t="shared" si="46"/>
        <v>-2.25</v>
      </c>
      <c r="P248" s="62"/>
      <c r="Q248" s="31">
        <f t="shared" si="39"/>
        <v>-9.4187204844152213</v>
      </c>
      <c r="R248" s="31">
        <f>SUM($Q$36:Q248)</f>
        <v>-2592.1687426960202</v>
      </c>
      <c r="S248" s="83">
        <f>IF($L$2&lt;&gt;1,-(R248-$R$36)/B248*12/$Q$36,0)</f>
        <v>-0.18982977126802533</v>
      </c>
      <c r="T248" s="31">
        <f>SUMPRODUCT($Q$36:Q248,$E$36:E248)/E248-R248</f>
        <v>-1915.804988188484</v>
      </c>
      <c r="U248" s="31">
        <f t="shared" si="40"/>
        <v>2748.0703830185448</v>
      </c>
      <c r="V248" s="31">
        <f t="shared" si="41"/>
        <v>3343.4703830185449</v>
      </c>
      <c r="W248" s="80" cm="1">
        <f t="array" ref="W248">IF($L$2&lt;&gt;1,IRR(IF(ROW($Q$36:Q248)=ROW(Q248),Q248+L248-K248,$Q$36:Q248),W247/12)*12,0)</f>
        <v>6.1298196275687999E-2</v>
      </c>
      <c r="X248" s="83">
        <f>(1+W248/12)^(B248)-1</f>
        <v>1.9452045445497976</v>
      </c>
    </row>
    <row r="249" spans="2:24" x14ac:dyDescent="0.25">
      <c r="B249" s="33">
        <v>213</v>
      </c>
      <c r="C249" s="81">
        <f t="shared" si="37"/>
        <v>17.75</v>
      </c>
      <c r="D249" s="105">
        <f t="shared" si="38"/>
        <v>3.9789301544717048E-3</v>
      </c>
      <c r="E249" s="106">
        <f t="shared" si="42"/>
        <v>0.42920076476096825</v>
      </c>
      <c r="F249" s="60">
        <f>rate</f>
        <v>3.2737397821989145E-3</v>
      </c>
      <c r="G249" s="31">
        <f>IF(AND(B248&gt;=gracia,12*años+gracia-B248&gt;0,$L$2&lt;&gt;1),PMT(F248,12*años-B248+gracia,-K248),0)</f>
        <v>19.168720484415225</v>
      </c>
      <c r="H249" s="31">
        <f>IF(AND(12*años+gracia-B248&gt;0,$L$2&lt;&gt;1),K248*F249,0)</f>
        <v>7.3515017786056989</v>
      </c>
      <c r="I249" s="31">
        <f>IF(AND(12*años+gracia-B248&gt;0,$L$2&lt;&gt;1),G249-H249,0)</f>
        <v>11.817218705809527</v>
      </c>
      <c r="J249" s="62"/>
      <c r="K249" s="61">
        <f t="shared" si="43"/>
        <v>2233.7802532068245</v>
      </c>
      <c r="L249" s="61">
        <f>L248*(1+$J$17)^(1/12)</f>
        <v>7604.5453171255622</v>
      </c>
      <c r="M249" s="31">
        <f t="shared" si="44"/>
        <v>12</v>
      </c>
      <c r="N249" s="31">
        <f t="shared" si="45"/>
        <v>0</v>
      </c>
      <c r="O249" s="31">
        <f t="shared" si="46"/>
        <v>-2.25</v>
      </c>
      <c r="P249" s="62"/>
      <c r="Q249" s="31">
        <f t="shared" si="39"/>
        <v>-9.4187204844152248</v>
      </c>
      <c r="R249" s="31">
        <f>SUM($Q$36:Q249)</f>
        <v>-2601.5874631804354</v>
      </c>
      <c r="S249" s="83">
        <f>IF($L$2&lt;&gt;1,-(R249-$R$36)/B249*12/$Q$36,0)</f>
        <v>-0.18982977126802533</v>
      </c>
      <c r="T249" s="31">
        <f>SUMPRODUCT($Q$36:Q249,$E$36:E249)/E249-R249</f>
        <v>-1933.7419008018669</v>
      </c>
      <c r="U249" s="31">
        <f t="shared" si="40"/>
        <v>2769.1776007383023</v>
      </c>
      <c r="V249" s="31">
        <f t="shared" si="41"/>
        <v>3364.5776007383024</v>
      </c>
      <c r="W249" s="80" cm="1">
        <f t="array" ref="W249">IF($L$2&lt;&gt;1,IRR(IF(ROW($Q$36:Q249)=ROW(Q249),Q249+L249-K249,$Q$36:Q249),W248/12)*12,0)</f>
        <v>6.1208108120067273E-2</v>
      </c>
      <c r="X249" s="83">
        <f>(1+W249/12)^(B249)-1</f>
        <v>1.9555433423713082</v>
      </c>
    </row>
    <row r="250" spans="2:24" x14ac:dyDescent="0.25">
      <c r="B250" s="33">
        <v>214</v>
      </c>
      <c r="C250" s="81">
        <f t="shared" si="37"/>
        <v>17.833333333333332</v>
      </c>
      <c r="D250" s="105">
        <f t="shared" si="38"/>
        <v>3.9789301544717048E-3</v>
      </c>
      <c r="E250" s="106">
        <f t="shared" si="42"/>
        <v>0.42749977302305697</v>
      </c>
      <c r="F250" s="60">
        <f>rate</f>
        <v>3.2737397821989145E-3</v>
      </c>
      <c r="G250" s="31">
        <f>IF(AND(B249&gt;=gracia,12*años+gracia-B249&gt;0,$L$2&lt;&gt;1),PMT(F249,12*años-B249+gracia,-K249),0)</f>
        <v>19.168720484415225</v>
      </c>
      <c r="H250" s="31">
        <f>IF(AND(12*años+gracia-B249&gt;0,$L$2&lt;&gt;1),K249*F250,0)</f>
        <v>7.3128152796135453</v>
      </c>
      <c r="I250" s="31">
        <f>IF(AND(12*años+gracia-B249&gt;0,$L$2&lt;&gt;1),G250-H250,0)</f>
        <v>11.85590520480168</v>
      </c>
      <c r="J250" s="62"/>
      <c r="K250" s="61">
        <f t="shared" si="43"/>
        <v>2221.9243480020227</v>
      </c>
      <c r="L250" s="61">
        <f>L249*(1+$J$17)^(1/12)</f>
        <v>7623.3001773733022</v>
      </c>
      <c r="M250" s="31">
        <f t="shared" si="44"/>
        <v>12</v>
      </c>
      <c r="N250" s="31">
        <f t="shared" si="45"/>
        <v>0</v>
      </c>
      <c r="O250" s="31">
        <f t="shared" si="46"/>
        <v>-2.25</v>
      </c>
      <c r="P250" s="62"/>
      <c r="Q250" s="31">
        <f t="shared" si="39"/>
        <v>-9.4187204844152248</v>
      </c>
      <c r="R250" s="31">
        <f>SUM($Q$36:Q250)</f>
        <v>-2611.0061836648506</v>
      </c>
      <c r="S250" s="83">
        <f>IF($L$2&lt;&gt;1,-(R250-$R$36)/B250*12/$Q$36,0)</f>
        <v>-0.18982977126802533</v>
      </c>
      <c r="T250" s="31">
        <f>SUMPRODUCT($Q$36:Q250,$E$36:E250)/E250-R250</f>
        <v>-1951.7876595686771</v>
      </c>
      <c r="U250" s="31">
        <f t="shared" si="40"/>
        <v>2790.3696457064289</v>
      </c>
      <c r="V250" s="31">
        <f t="shared" si="41"/>
        <v>3385.7696457064289</v>
      </c>
      <c r="W250" s="80" cm="1">
        <f t="array" ref="W250">IF($L$2&lt;&gt;1,IRR(IF(ROW($Q$36:Q250)=ROW(Q250),Q250+L250-K250,$Q$36:Q250),W249/12)*12,0)</f>
        <v>6.1118492150009196E-2</v>
      </c>
      <c r="X250" s="83">
        <f>(1+W250/12)^(B250)-1</f>
        <v>1.9658989401790934</v>
      </c>
    </row>
    <row r="251" spans="2:24" x14ac:dyDescent="0.25">
      <c r="B251" s="33">
        <v>215</v>
      </c>
      <c r="C251" s="81">
        <f t="shared" si="37"/>
        <v>17.916666666666668</v>
      </c>
      <c r="D251" s="105">
        <f t="shared" si="38"/>
        <v>3.9789301544717048E-3</v>
      </c>
      <c r="E251" s="106">
        <f t="shared" si="42"/>
        <v>0.42580552258928589</v>
      </c>
      <c r="F251" s="60">
        <f>rate</f>
        <v>3.2737397821989145E-3</v>
      </c>
      <c r="G251" s="31">
        <f>IF(AND(B250&gt;=gracia,12*años+gracia-B250&gt;0,$L$2&lt;&gt;1),PMT(F250,12*años-B250+gracia,-K250),0)</f>
        <v>19.168720484415225</v>
      </c>
      <c r="H251" s="31">
        <f>IF(AND(12*años+gracia-B250&gt;0,$L$2&lt;&gt;1),K250*F251,0)</f>
        <v>7.2740021310906071</v>
      </c>
      <c r="I251" s="31">
        <f>IF(AND(12*años+gracia-B250&gt;0,$L$2&lt;&gt;1),G251-H251,0)</f>
        <v>11.894718353324617</v>
      </c>
      <c r="J251" s="62"/>
      <c r="K251" s="61">
        <f t="shared" si="43"/>
        <v>2210.0296296486981</v>
      </c>
      <c r="L251" s="61">
        <f>L250*(1+$J$17)^(1/12)</f>
        <v>7642.1012921659549</v>
      </c>
      <c r="M251" s="31">
        <f t="shared" si="44"/>
        <v>12</v>
      </c>
      <c r="N251" s="31">
        <f t="shared" si="45"/>
        <v>0</v>
      </c>
      <c r="O251" s="31">
        <f t="shared" si="46"/>
        <v>-2.25</v>
      </c>
      <c r="P251" s="62"/>
      <c r="Q251" s="31">
        <f t="shared" si="39"/>
        <v>-9.4187204844152248</v>
      </c>
      <c r="R251" s="31">
        <f>SUM($Q$36:Q251)</f>
        <v>-2620.4249041492658</v>
      </c>
      <c r="S251" s="83">
        <f>IF($L$2&lt;&gt;1,-(R251-$R$36)/B251*12/$Q$36,0)</f>
        <v>-0.18982977126802533</v>
      </c>
      <c r="T251" s="31">
        <f>SUMPRODUCT($Q$36:Q251,$E$36:E251)/E251-R251</f>
        <v>-1969.9426975801571</v>
      </c>
      <c r="U251" s="31">
        <f t="shared" si="40"/>
        <v>2811.6467583679914</v>
      </c>
      <c r="V251" s="31">
        <f t="shared" si="41"/>
        <v>3407.0467583679915</v>
      </c>
      <c r="W251" s="80" cm="1">
        <f t="array" ref="W251">IF($L$2&lt;&gt;1,IRR(IF(ROW($Q$36:Q251)=ROW(Q251),Q251+L251-K251,$Q$36:Q251),W250/12)*12,0)</f>
        <v>6.1029345678428548E-2</v>
      </c>
      <c r="X251" s="83">
        <f>(1+W251/12)^(B251)-1</f>
        <v>1.9762714675304123</v>
      </c>
    </row>
    <row r="252" spans="2:24" x14ac:dyDescent="0.25">
      <c r="B252" s="33">
        <v>216</v>
      </c>
      <c r="C252" s="81">
        <f t="shared" si="37"/>
        <v>18</v>
      </c>
      <c r="D252" s="105">
        <f t="shared" si="38"/>
        <v>3.9789301544717048E-3</v>
      </c>
      <c r="E252" s="106">
        <f t="shared" si="42"/>
        <v>0.42411798674278123</v>
      </c>
      <c r="F252" s="60">
        <f>rate</f>
        <v>3.2737397821989145E-3</v>
      </c>
      <c r="G252" s="31">
        <f>IF(AND(B251&gt;=gracia,12*años+gracia-B251&gt;0,$L$2&lt;&gt;1),PMT(F251,12*años-B251+gracia,-K251),0)</f>
        <v>19.168720484415225</v>
      </c>
      <c r="H252" s="31">
        <f>IF(AND(12*años+gracia-B251&gt;0,$L$2&lt;&gt;1),K251*F252,0)</f>
        <v>7.2350619184192766</v>
      </c>
      <c r="I252" s="31">
        <f>IF(AND(12*años+gracia-B251&gt;0,$L$2&lt;&gt;1),G252-H252,0)</f>
        <v>11.933658565995948</v>
      </c>
      <c r="J252" s="62"/>
      <c r="K252" s="61">
        <f t="shared" si="43"/>
        <v>2198.0959710827024</v>
      </c>
      <c r="L252" s="61">
        <f>L251*(1+$J$17)^(1/12)</f>
        <v>7660.9487755797063</v>
      </c>
      <c r="M252" s="31">
        <f t="shared" si="44"/>
        <v>12</v>
      </c>
      <c r="N252" s="31">
        <f t="shared" si="45"/>
        <v>0</v>
      </c>
      <c r="O252" s="31">
        <f t="shared" si="46"/>
        <v>-2.25</v>
      </c>
      <c r="P252" s="62"/>
      <c r="Q252" s="31">
        <f t="shared" si="39"/>
        <v>-9.4187204844152248</v>
      </c>
      <c r="R252" s="31">
        <f>SUM($Q$36:Q252)</f>
        <v>-2629.843624633681</v>
      </c>
      <c r="S252" s="83">
        <f>IF($L$2&lt;&gt;1,-(R252-$R$36)/B252*12/$Q$36,0)</f>
        <v>-0.18982977126802533</v>
      </c>
      <c r="T252" s="31">
        <f>SUMPRODUCT($Q$36:Q252,$E$36:E252)/E252-R252</f>
        <v>-1988.207449650788</v>
      </c>
      <c r="U252" s="31">
        <f t="shared" si="40"/>
        <v>2833.009179863323</v>
      </c>
      <c r="V252" s="31">
        <f t="shared" si="41"/>
        <v>3428.4091798633231</v>
      </c>
      <c r="W252" s="80" cm="1">
        <f t="array" ref="W252">IF($L$2&lt;&gt;1,IRR(IF(ROW($Q$36:Q252)=ROW(Q252),Q252+L252-K252,$Q$36:Q252),W251/12)*12,0)</f>
        <v>6.0940666015245171E-2</v>
      </c>
      <c r="X252" s="83">
        <f>(1+W252/12)^(B252)-1</f>
        <v>1.9866610534535623</v>
      </c>
    </row>
    <row r="253" spans="2:24" x14ac:dyDescent="0.25">
      <c r="B253" s="33">
        <v>217</v>
      </c>
      <c r="C253" s="81">
        <f t="shared" si="37"/>
        <v>18.083333333333332</v>
      </c>
      <c r="D253" s="105">
        <f t="shared" si="38"/>
        <v>3.9789301544717048E-3</v>
      </c>
      <c r="E253" s="106">
        <f t="shared" si="42"/>
        <v>0.42243713887255246</v>
      </c>
      <c r="F253" s="60">
        <f>rate</f>
        <v>3.2737397821989145E-3</v>
      </c>
      <c r="G253" s="31">
        <f>IF(AND(B252&gt;=gracia,12*años+gracia-B252&gt;0,$L$2&lt;&gt;1),PMT(F252,12*años-B252+gracia,-K252),0)</f>
        <v>19.168720484415225</v>
      </c>
      <c r="H253" s="31">
        <f>IF(AND(12*años+gracia-B252&gt;0,$L$2&lt;&gt;1),K252*F253,0)</f>
        <v>7.1959942256245979</v>
      </c>
      <c r="I253" s="31">
        <f>IF(AND(12*años+gracia-B252&gt;0,$L$2&lt;&gt;1),G253-H253,0)</f>
        <v>11.972726258790626</v>
      </c>
      <c r="J253" s="62"/>
      <c r="K253" s="61">
        <f t="shared" si="43"/>
        <v>2186.1232448239116</v>
      </c>
      <c r="L253" s="61">
        <f>L252*(1+$J$17)^(1/12)</f>
        <v>7679.8427419720856</v>
      </c>
      <c r="M253" s="31">
        <f t="shared" si="44"/>
        <v>12</v>
      </c>
      <c r="N253" s="31">
        <f t="shared" si="45"/>
        <v>0</v>
      </c>
      <c r="O253" s="31">
        <f t="shared" si="46"/>
        <v>-2.25</v>
      </c>
      <c r="P253" s="62"/>
      <c r="Q253" s="31">
        <f t="shared" si="39"/>
        <v>-9.4187204844152248</v>
      </c>
      <c r="R253" s="31">
        <f>SUM($Q$36:Q253)</f>
        <v>-2639.2623451180962</v>
      </c>
      <c r="S253" s="83">
        <f>IF($L$2&lt;&gt;1,-(R253-$R$36)/B253*12/$Q$36,0)</f>
        <v>-0.18982977126802533</v>
      </c>
      <c r="T253" s="31">
        <f>SUMPRODUCT($Q$36:Q253,$E$36:E253)/E253-R253</f>
        <v>-2006.5823523251493</v>
      </c>
      <c r="U253" s="31">
        <f t="shared" si="40"/>
        <v>2854.4571520300779</v>
      </c>
      <c r="V253" s="31">
        <f t="shared" si="41"/>
        <v>3449.8571520300779</v>
      </c>
      <c r="W253" s="80" cm="1">
        <f t="array" ref="W253">IF($L$2&lt;&gt;1,IRR(IF(ROW($Q$36:Q253)=ROW(Q253),Q253+L253-K253,$Q$36:Q253),W252/12)*12,0)</f>
        <v>6.0852450468367181E-2</v>
      </c>
      <c r="X253" s="83">
        <f>(1+W253/12)^(B253)-1</f>
        <v>1.9970678264591859</v>
      </c>
    </row>
    <row r="254" spans="2:24" x14ac:dyDescent="0.25">
      <c r="B254" s="33">
        <v>218</v>
      </c>
      <c r="C254" s="81">
        <f t="shared" si="37"/>
        <v>18.166666666666668</v>
      </c>
      <c r="D254" s="105">
        <f t="shared" si="38"/>
        <v>3.9789301544717048E-3</v>
      </c>
      <c r="E254" s="106">
        <f t="shared" si="42"/>
        <v>0.42076295247307283</v>
      </c>
      <c r="F254" s="60">
        <f>rate</f>
        <v>3.2737397821989145E-3</v>
      </c>
      <c r="G254" s="31">
        <f>IF(AND(B253&gt;=gracia,12*años+gracia-B253&gt;0,$L$2&lt;&gt;1),PMT(F253,12*años-B253+gracia,-K253),0)</f>
        <v>19.168720484415225</v>
      </c>
      <c r="H254" s="31">
        <f>IF(AND(12*años+gracia-B253&gt;0,$L$2&lt;&gt;1),K253*F254,0)</f>
        <v>7.1567986353698165</v>
      </c>
      <c r="I254" s="31">
        <f>IF(AND(12*años+gracia-B253&gt;0,$L$2&lt;&gt;1),G254-H254,0)</f>
        <v>12.011921849045407</v>
      </c>
      <c r="J254" s="62"/>
      <c r="K254" s="61">
        <f t="shared" si="43"/>
        <v>2174.1113229748662</v>
      </c>
      <c r="L254" s="61">
        <f>L253*(1+$J$17)^(1/12)</f>
        <v>7698.7833059826571</v>
      </c>
      <c r="M254" s="31">
        <f t="shared" si="44"/>
        <v>12</v>
      </c>
      <c r="N254" s="31">
        <f t="shared" si="45"/>
        <v>0</v>
      </c>
      <c r="O254" s="31">
        <f t="shared" si="46"/>
        <v>-2.25</v>
      </c>
      <c r="P254" s="62"/>
      <c r="Q254" s="31">
        <f t="shared" si="39"/>
        <v>-9.4187204844152248</v>
      </c>
      <c r="R254" s="31">
        <f>SUM($Q$36:Q254)</f>
        <v>-2648.6810656025114</v>
      </c>
      <c r="S254" s="83">
        <f>IF($L$2&lt;&gt;1,-(R254-$R$36)/B254*12/$Q$36,0)</f>
        <v>-0.18982977126802533</v>
      </c>
      <c r="T254" s="31">
        <f>SUMPRODUCT($Q$36:Q254,$E$36:E254)/E254-R254</f>
        <v>-2025.0678438847985</v>
      </c>
      <c r="U254" s="31">
        <f t="shared" si="40"/>
        <v>2875.9909174052791</v>
      </c>
      <c r="V254" s="31">
        <f t="shared" si="41"/>
        <v>3471.3909174052792</v>
      </c>
      <c r="W254" s="80" cm="1">
        <f t="array" ref="W254">IF($L$2&lt;&gt;1,IRR(IF(ROW($Q$36:Q254)=ROW(Q254),Q254+L254-K254,$Q$36:Q254),W253/12)*12,0)</f>
        <v>6.0764696344612901E-2</v>
      </c>
      <c r="X254" s="83">
        <f>(1+W254/12)^(B254)-1</f>
        <v>2.0074919145516965</v>
      </c>
    </row>
    <row r="255" spans="2:24" x14ac:dyDescent="0.25">
      <c r="B255" s="33">
        <v>219</v>
      </c>
      <c r="C255" s="81">
        <f t="shared" si="37"/>
        <v>18.25</v>
      </c>
      <c r="D255" s="105">
        <f t="shared" si="38"/>
        <v>3.9789301544717048E-3</v>
      </c>
      <c r="E255" s="106">
        <f t="shared" si="42"/>
        <v>0.41909540114386112</v>
      </c>
      <c r="F255" s="60">
        <f>rate</f>
        <v>3.2737397821989145E-3</v>
      </c>
      <c r="G255" s="31">
        <f>IF(AND(B254&gt;=gracia,12*años+gracia-B254&gt;0,$L$2&lt;&gt;1),PMT(F254,12*años-B254+gracia,-K254),0)</f>
        <v>19.168720484415225</v>
      </c>
      <c r="H255" s="31">
        <f>IF(AND(12*años+gracia-B254&gt;0,$L$2&lt;&gt;1),K254*F255,0)</f>
        <v>7.1174747289519322</v>
      </c>
      <c r="I255" s="31">
        <f>IF(AND(12*años+gracia-B254&gt;0,$L$2&lt;&gt;1),G255-H255,0)</f>
        <v>12.051245755463292</v>
      </c>
      <c r="J255" s="62"/>
      <c r="K255" s="61">
        <f t="shared" si="43"/>
        <v>2162.060077219403</v>
      </c>
      <c r="L255" s="61">
        <f>L254*(1+$J$17)^(1/12)</f>
        <v>7717.770582533718</v>
      </c>
      <c r="M255" s="31">
        <f t="shared" si="44"/>
        <v>12</v>
      </c>
      <c r="N255" s="31">
        <f t="shared" si="45"/>
        <v>0</v>
      </c>
      <c r="O255" s="31">
        <f t="shared" si="46"/>
        <v>-2.25</v>
      </c>
      <c r="P255" s="62"/>
      <c r="Q255" s="31">
        <f t="shared" si="39"/>
        <v>-9.4187204844152248</v>
      </c>
      <c r="R255" s="31">
        <f>SUM($Q$36:Q255)</f>
        <v>-2658.0997860869265</v>
      </c>
      <c r="S255" s="83">
        <f>IF($L$2&lt;&gt;1,-(R255-$R$36)/B255*12/$Q$36,0)</f>
        <v>-0.18982977126802533</v>
      </c>
      <c r="T255" s="31">
        <f>SUMPRODUCT($Q$36:Q255,$E$36:E255)/E255-R255</f>
        <v>-2043.6643643551861</v>
      </c>
      <c r="U255" s="31">
        <f t="shared" si="40"/>
        <v>2897.6107192273885</v>
      </c>
      <c r="V255" s="31">
        <f t="shared" si="41"/>
        <v>3493.0107192273886</v>
      </c>
      <c r="W255" s="80" cm="1">
        <f t="array" ref="W255">IF($L$2&lt;&gt;1,IRR(IF(ROW($Q$36:Q255)=ROW(Q255),Q255+L255-K255,$Q$36:Q255),W254/12)*12,0)</f>
        <v>6.0677400950590155E-2</v>
      </c>
      <c r="X255" s="83">
        <f>(1+W255/12)^(B255)-1</f>
        <v>2.0179334452395601</v>
      </c>
    </row>
    <row r="256" spans="2:24" x14ac:dyDescent="0.25">
      <c r="B256" s="33">
        <v>220</v>
      </c>
      <c r="C256" s="81">
        <f t="shared" si="37"/>
        <v>18.333333333333332</v>
      </c>
      <c r="D256" s="105">
        <f t="shared" si="38"/>
        <v>3.9789301544717048E-3</v>
      </c>
      <c r="E256" s="106">
        <f t="shared" si="42"/>
        <v>0.41743445858906553</v>
      </c>
      <c r="F256" s="60">
        <f>rate</f>
        <v>3.2737397821989145E-3</v>
      </c>
      <c r="G256" s="31">
        <f>IF(AND(B255&gt;=gracia,12*años+gracia-B255&gt;0,$L$2&lt;&gt;1),PMT(F255,12*años-B255+gracia,-K255),0)</f>
        <v>19.168720484415225</v>
      </c>
      <c r="H256" s="31">
        <f>IF(AND(12*años+gracia-B255&gt;0,$L$2&lt;&gt;1),K255*F256,0)</f>
        <v>7.0780220862972163</v>
      </c>
      <c r="I256" s="31">
        <f>IF(AND(12*años+gracia-B255&gt;0,$L$2&lt;&gt;1),G256-H256,0)</f>
        <v>12.090698398118008</v>
      </c>
      <c r="J256" s="62"/>
      <c r="K256" s="61">
        <f t="shared" si="43"/>
        <v>2149.9693788212849</v>
      </c>
      <c r="L256" s="61">
        <f>L255*(1+$J$17)^(1/12)</f>
        <v>7736.8046868309957</v>
      </c>
      <c r="M256" s="31">
        <f t="shared" si="44"/>
        <v>12</v>
      </c>
      <c r="N256" s="31">
        <f t="shared" si="45"/>
        <v>0</v>
      </c>
      <c r="O256" s="31">
        <f t="shared" si="46"/>
        <v>-2.25</v>
      </c>
      <c r="P256" s="62"/>
      <c r="Q256" s="31">
        <f t="shared" si="39"/>
        <v>-9.4187204844152248</v>
      </c>
      <c r="R256" s="31">
        <f>SUM($Q$36:Q256)</f>
        <v>-2667.5185065713417</v>
      </c>
      <c r="S256" s="83">
        <f>IF($L$2&lt;&gt;1,-(R256-$R$36)/B256*12/$Q$36,0)</f>
        <v>-0.18982977126802533</v>
      </c>
      <c r="T256" s="31">
        <f>SUMPRODUCT($Q$36:Q256,$E$36:E256)/E256-R256</f>
        <v>-2062.3723555125948</v>
      </c>
      <c r="U256" s="31">
        <f t="shared" si="40"/>
        <v>2919.3168014383691</v>
      </c>
      <c r="V256" s="31">
        <f t="shared" si="41"/>
        <v>3514.7168014383692</v>
      </c>
      <c r="W256" s="80" cm="1">
        <f t="array" ref="W256">IF($L$2&lt;&gt;1,IRR(IF(ROW($Q$36:Q256)=ROW(Q256),Q256+L256-K256,$Q$36:Q256),W255/12)*12,0)</f>
        <v>6.0590561593538261E-2</v>
      </c>
      <c r="X256" s="83">
        <f>(1+W256/12)^(B256)-1</f>
        <v>2.028392545545656</v>
      </c>
    </row>
    <row r="257" spans="2:24" x14ac:dyDescent="0.25">
      <c r="B257" s="33">
        <v>221</v>
      </c>
      <c r="C257" s="81">
        <f t="shared" si="37"/>
        <v>18.416666666666668</v>
      </c>
      <c r="D257" s="105">
        <f t="shared" si="38"/>
        <v>3.9789301544717048E-3</v>
      </c>
      <c r="E257" s="106">
        <f t="shared" si="42"/>
        <v>0.41578009861704895</v>
      </c>
      <c r="F257" s="60">
        <f>rate</f>
        <v>3.2737397821989145E-3</v>
      </c>
      <c r="G257" s="31">
        <f>IF(AND(B256&gt;=gracia,12*años+gracia-B256&gt;0,$L$2&lt;&gt;1),PMT(F256,12*años-B256+gracia,-K256),0)</f>
        <v>19.168720484415221</v>
      </c>
      <c r="H257" s="31">
        <f>IF(AND(12*años+gracia-B256&gt;0,$L$2&lt;&gt;1),K256*F257,0)</f>
        <v>7.038440285956729</v>
      </c>
      <c r="I257" s="31">
        <f>IF(AND(12*años+gracia-B256&gt;0,$L$2&lt;&gt;1),G257-H257,0)</f>
        <v>12.130280198458493</v>
      </c>
      <c r="J257" s="62"/>
      <c r="K257" s="61">
        <f t="shared" si="43"/>
        <v>2137.8390986228264</v>
      </c>
      <c r="L257" s="61">
        <f>L256*(1+$J$17)^(1/12)</f>
        <v>7755.8857343643449</v>
      </c>
      <c r="M257" s="31">
        <f t="shared" si="44"/>
        <v>12</v>
      </c>
      <c r="N257" s="31">
        <f t="shared" si="45"/>
        <v>0</v>
      </c>
      <c r="O257" s="31">
        <f t="shared" si="46"/>
        <v>-2.25</v>
      </c>
      <c r="P257" s="62"/>
      <c r="Q257" s="31">
        <f t="shared" si="39"/>
        <v>-9.4187204844152213</v>
      </c>
      <c r="R257" s="31">
        <f>SUM($Q$36:Q257)</f>
        <v>-2676.9372270557569</v>
      </c>
      <c r="S257" s="83">
        <f>IF($L$2&lt;&gt;1,-(R257-$R$36)/B257*12/$Q$36,0)</f>
        <v>-0.18982977126802533</v>
      </c>
      <c r="T257" s="31">
        <f>SUMPRODUCT($Q$36:Q257,$E$36:E257)/E257-R257</f>
        <v>-2081.1922608911</v>
      </c>
      <c r="U257" s="31">
        <f t="shared" si="40"/>
        <v>2941.1094086857611</v>
      </c>
      <c r="V257" s="31">
        <f t="shared" si="41"/>
        <v>3536.5094086857612</v>
      </c>
      <c r="W257" s="80" cm="1">
        <f t="array" ref="W257">IF($L$2&lt;&gt;1,IRR(IF(ROW($Q$36:Q257)=ROW(Q257),Q257+L257-K257,$Q$36:Q257),W256/12)*12,0)</f>
        <v>6.0504175582132724E-2</v>
      </c>
      <c r="X257" s="83">
        <f>(1+W257/12)^(B257)-1</f>
        <v>2.0388693420186659</v>
      </c>
    </row>
    <row r="258" spans="2:24" x14ac:dyDescent="0.25">
      <c r="B258" s="33">
        <v>222</v>
      </c>
      <c r="C258" s="81">
        <f t="shared" si="37"/>
        <v>18.5</v>
      </c>
      <c r="D258" s="105">
        <f t="shared" si="38"/>
        <v>3.9789301544717048E-3</v>
      </c>
      <c r="E258" s="106">
        <f t="shared" si="42"/>
        <v>0.4141322951399759</v>
      </c>
      <c r="F258" s="60">
        <f>rate</f>
        <v>3.2737397821989145E-3</v>
      </c>
      <c r="G258" s="31">
        <f>IF(AND(B257&gt;=gracia,12*años+gracia-B257&gt;0,$L$2&lt;&gt;1),PMT(F257,12*años-B257+gracia,-K257),0)</f>
        <v>19.168720484415225</v>
      </c>
      <c r="H258" s="31">
        <f>IF(AND(12*años+gracia-B257&gt;0,$L$2&lt;&gt;1),K257*F258,0)</f>
        <v>6.9987289051018156</v>
      </c>
      <c r="I258" s="31">
        <f>IF(AND(12*años+gracia-B257&gt;0,$L$2&lt;&gt;1),G258-H258,0)</f>
        <v>12.169991579313409</v>
      </c>
      <c r="J258" s="62"/>
      <c r="K258" s="61">
        <f t="shared" si="43"/>
        <v>2125.6691070435131</v>
      </c>
      <c r="L258" s="61">
        <f>L257*(1+$J$17)^(1/12)</f>
        <v>7775.0138409084493</v>
      </c>
      <c r="M258" s="31">
        <f t="shared" si="44"/>
        <v>12</v>
      </c>
      <c r="N258" s="31">
        <f t="shared" si="45"/>
        <v>0</v>
      </c>
      <c r="O258" s="31">
        <f t="shared" si="46"/>
        <v>-2.25</v>
      </c>
      <c r="P258" s="62"/>
      <c r="Q258" s="31">
        <f t="shared" si="39"/>
        <v>-9.4187204844152248</v>
      </c>
      <c r="R258" s="31">
        <f>SUM($Q$36:Q258)</f>
        <v>-2686.3559475401721</v>
      </c>
      <c r="S258" s="83">
        <f>IF($L$2&lt;&gt;1,-(R258-$R$36)/B258*12/$Q$36,0)</f>
        <v>-0.18982977126802533</v>
      </c>
      <c r="T258" s="31">
        <f>SUMPRODUCT($Q$36:Q258,$E$36:E258)/E258-R258</f>
        <v>-2100.1245257895739</v>
      </c>
      <c r="U258" s="31">
        <f t="shared" si="40"/>
        <v>2962.9887863247641</v>
      </c>
      <c r="V258" s="31">
        <f t="shared" si="41"/>
        <v>3558.3887863247642</v>
      </c>
      <c r="W258" s="80" cm="1">
        <f t="array" ref="W258">IF($L$2&lt;&gt;1,IRR(IF(ROW($Q$36:Q258)=ROW(Q258),Q258+L258-K258,$Q$36:Q258),W257/12)*12,0)</f>
        <v>6.0418240227231301E-2</v>
      </c>
      <c r="X258" s="83">
        <f>(1+W258/12)^(B258)-1</f>
        <v>2.049363960741851</v>
      </c>
    </row>
    <row r="259" spans="2:24" x14ac:dyDescent="0.25">
      <c r="B259" s="33">
        <v>223</v>
      </c>
      <c r="C259" s="81">
        <f t="shared" si="37"/>
        <v>18.583333333333332</v>
      </c>
      <c r="D259" s="105">
        <f t="shared" si="38"/>
        <v>3.9789301544717048E-3</v>
      </c>
      <c r="E259" s="106">
        <f t="shared" si="42"/>
        <v>0.41249102217340128</v>
      </c>
      <c r="F259" s="60">
        <f>rate</f>
        <v>3.2737397821989145E-3</v>
      </c>
      <c r="G259" s="31">
        <f>IF(AND(B258&gt;=gracia,12*años+gracia-B258&gt;0,$L$2&lt;&gt;1),PMT(F258,12*años-B258+gracia,-K258),0)</f>
        <v>19.168720484415225</v>
      </c>
      <c r="H259" s="31">
        <f>IF(AND(12*años+gracia-B258&gt;0,$L$2&lt;&gt;1),K258*F259,0)</f>
        <v>6.9588875195195916</v>
      </c>
      <c r="I259" s="31">
        <f>IF(AND(12*años+gracia-B258&gt;0,$L$2&lt;&gt;1),G259-H259,0)</f>
        <v>12.209832964895632</v>
      </c>
      <c r="J259" s="62"/>
      <c r="K259" s="61">
        <f t="shared" si="43"/>
        <v>2113.4592740786175</v>
      </c>
      <c r="L259" s="61">
        <f>L258*(1+$J$17)^(1/12)</f>
        <v>7794.1891225235249</v>
      </c>
      <c r="M259" s="31">
        <f t="shared" si="44"/>
        <v>12</v>
      </c>
      <c r="N259" s="31">
        <f t="shared" si="45"/>
        <v>0</v>
      </c>
      <c r="O259" s="31">
        <f t="shared" si="46"/>
        <v>-2.25</v>
      </c>
      <c r="P259" s="62"/>
      <c r="Q259" s="31">
        <f t="shared" si="39"/>
        <v>-9.4187204844152248</v>
      </c>
      <c r="R259" s="31">
        <f>SUM($Q$36:Q259)</f>
        <v>-2695.7746680245873</v>
      </c>
      <c r="S259" s="83">
        <f>IF($L$2&lt;&gt;1,-(R259-$R$36)/B259*12/$Q$36,0)</f>
        <v>-0.18982977126802533</v>
      </c>
      <c r="T259" s="31">
        <f>SUMPRODUCT($Q$36:Q259,$E$36:E259)/E259-R259</f>
        <v>-2119.1695972786956</v>
      </c>
      <c r="U259" s="31">
        <f t="shared" si="40"/>
        <v>2984.9551804203202</v>
      </c>
      <c r="V259" s="31">
        <f t="shared" si="41"/>
        <v>3580.3551804203203</v>
      </c>
      <c r="W259" s="80" cm="1">
        <f t="array" ref="W259">IF($L$2&lt;&gt;1,IRR(IF(ROW($Q$36:Q259)=ROW(Q259),Q259+L259-K259,$Q$36:Q259),W258/12)*12,0)</f>
        <v>6.0332752842622739E-2</v>
      </c>
      <c r="X259" s="83">
        <f>(1+W259/12)^(B259)-1</f>
        <v>2.0598765273442536</v>
      </c>
    </row>
    <row r="260" spans="2:24" x14ac:dyDescent="0.25">
      <c r="B260" s="33">
        <v>224</v>
      </c>
      <c r="C260" s="81">
        <f t="shared" si="37"/>
        <v>18.666666666666668</v>
      </c>
      <c r="D260" s="105">
        <f t="shared" si="38"/>
        <v>3.9789301544717048E-3</v>
      </c>
      <c r="E260" s="106">
        <f t="shared" si="42"/>
        <v>0.4108562538358605</v>
      </c>
      <c r="F260" s="60">
        <f>rate</f>
        <v>3.2737397821989145E-3</v>
      </c>
      <c r="G260" s="31">
        <f>IF(AND(B259&gt;=gracia,12*años+gracia-B259&gt;0,$L$2&lt;&gt;1),PMT(F259,12*años-B259+gracia,-K259),0)</f>
        <v>19.168720484415225</v>
      </c>
      <c r="H260" s="31">
        <f>IF(AND(12*años+gracia-B259&gt;0,$L$2&lt;&gt;1),K259*F260,0)</f>
        <v>6.918915703608409</v>
      </c>
      <c r="I260" s="31">
        <f>IF(AND(12*años+gracia-B259&gt;0,$L$2&lt;&gt;1),G260-H260,0)</f>
        <v>12.249804780806816</v>
      </c>
      <c r="J260" s="62"/>
      <c r="K260" s="61">
        <f t="shared" si="43"/>
        <v>2101.2094692978108</v>
      </c>
      <c r="L260" s="61">
        <f>L259*(1+$J$17)^(1/12)</f>
        <v>7813.411695556023</v>
      </c>
      <c r="M260" s="31">
        <f t="shared" si="44"/>
        <v>12</v>
      </c>
      <c r="N260" s="31">
        <f t="shared" si="45"/>
        <v>0</v>
      </c>
      <c r="O260" s="31">
        <f t="shared" si="46"/>
        <v>-2.25</v>
      </c>
      <c r="P260" s="62"/>
      <c r="Q260" s="31">
        <f t="shared" si="39"/>
        <v>-9.4187204844152248</v>
      </c>
      <c r="R260" s="31">
        <f>SUM($Q$36:Q260)</f>
        <v>-2705.1933885090025</v>
      </c>
      <c r="S260" s="83">
        <f>IF($L$2&lt;&gt;1,-(R260-$R$36)/B260*12/$Q$36,0)</f>
        <v>-0.18982977126802533</v>
      </c>
      <c r="T260" s="31">
        <f>SUMPRODUCT($Q$36:Q260,$E$36:E260)/E260-R260</f>
        <v>-2138.3279242080112</v>
      </c>
      <c r="U260" s="31">
        <f t="shared" si="40"/>
        <v>3007.0088377492093</v>
      </c>
      <c r="V260" s="31">
        <f t="shared" si="41"/>
        <v>3602.4088377492094</v>
      </c>
      <c r="W260" s="80" cm="1">
        <f t="array" ref="W260">IF($L$2&lt;&gt;1,IRR(IF(ROW($Q$36:Q260)=ROW(Q260),Q260+L260-K260,$Q$36:Q260),W259/12)*12,0)</f>
        <v>6.0247710745692906E-2</v>
      </c>
      <c r="X260" s="83">
        <f>(1+W260/12)^(B260)-1</f>
        <v>2.070407167010063</v>
      </c>
    </row>
    <row r="261" spans="2:24" x14ac:dyDescent="0.25">
      <c r="B261" s="33">
        <v>225</v>
      </c>
      <c r="C261" s="81">
        <f t="shared" si="37"/>
        <v>18.75</v>
      </c>
      <c r="D261" s="105">
        <f t="shared" si="38"/>
        <v>3.9789301544717048E-3</v>
      </c>
      <c r="E261" s="106">
        <f t="shared" si="42"/>
        <v>0.40922796434846131</v>
      </c>
      <c r="F261" s="60">
        <f>rate</f>
        <v>3.2737397821989145E-3</v>
      </c>
      <c r="G261" s="31">
        <f>IF(AND(B260&gt;=gracia,12*años+gracia-B260&gt;0,$L$2&lt;&gt;1),PMT(F260,12*años-B260+gracia,-K260),0)</f>
        <v>19.168720484415225</v>
      </c>
      <c r="H261" s="31">
        <f>IF(AND(12*años+gracia-B260&gt;0,$L$2&lt;&gt;1),K260*F261,0)</f>
        <v>6.8788130303733119</v>
      </c>
      <c r="I261" s="31">
        <f>IF(AND(12*años+gracia-B260&gt;0,$L$2&lt;&gt;1),G261-H261,0)</f>
        <v>12.289907454041913</v>
      </c>
      <c r="J261" s="62"/>
      <c r="K261" s="61">
        <f t="shared" si="43"/>
        <v>2088.9195618437689</v>
      </c>
      <c r="L261" s="61">
        <f>L260*(1+$J$17)^(1/12)</f>
        <v>7832.6816766393367</v>
      </c>
      <c r="M261" s="31">
        <f t="shared" si="44"/>
        <v>12</v>
      </c>
      <c r="N261" s="31">
        <f t="shared" si="45"/>
        <v>0</v>
      </c>
      <c r="O261" s="31">
        <f t="shared" si="46"/>
        <v>-2.25</v>
      </c>
      <c r="P261" s="62"/>
      <c r="Q261" s="31">
        <f t="shared" si="39"/>
        <v>-9.4187204844152248</v>
      </c>
      <c r="R261" s="31">
        <f>SUM($Q$36:Q261)</f>
        <v>-2714.6121089934177</v>
      </c>
      <c r="S261" s="83">
        <f>IF($L$2&lt;&gt;1,-(R261-$R$36)/B261*12/$Q$36,0)</f>
        <v>-0.18982977126802533</v>
      </c>
      <c r="T261" s="31">
        <f>SUMPRODUCT($Q$36:Q261,$E$36:E261)/E261-R261</f>
        <v>-2157.5999572130077</v>
      </c>
      <c r="U261" s="31">
        <f t="shared" si="40"/>
        <v>3029.1500058021502</v>
      </c>
      <c r="V261" s="31">
        <f t="shared" si="41"/>
        <v>3624.5500058021503</v>
      </c>
      <c r="W261" s="80" cm="1">
        <f t="array" ref="W261">IF($L$2&lt;&gt;1,IRR(IF(ROW($Q$36:Q261)=ROW(Q261),Q261+L261-K261,$Q$36:Q261),W260/12)*12,0)</f>
        <v>6.0163111258101587E-2</v>
      </c>
      <c r="X261" s="83">
        <f>(1+W261/12)^(B261)-1</f>
        <v>2.0809560044885815</v>
      </c>
    </row>
    <row r="262" spans="2:24" x14ac:dyDescent="0.25">
      <c r="B262" s="33">
        <v>226</v>
      </c>
      <c r="C262" s="81">
        <f t="shared" si="37"/>
        <v>18.833333333333332</v>
      </c>
      <c r="D262" s="105">
        <f t="shared" si="38"/>
        <v>3.9789301544717048E-3</v>
      </c>
      <c r="E262" s="106">
        <f t="shared" si="42"/>
        <v>0.40760612803447749</v>
      </c>
      <c r="F262" s="60">
        <f>rate</f>
        <v>3.2737397821989145E-3</v>
      </c>
      <c r="G262" s="31">
        <f>IF(AND(B261&gt;=gracia,12*años+gracia-B261&gt;0,$L$2&lt;&gt;1),PMT(F261,12*años-B261+gracia,-K261),0)</f>
        <v>19.168720484415228</v>
      </c>
      <c r="H262" s="31">
        <f>IF(AND(12*años+gracia-B261&gt;0,$L$2&lt;&gt;1),K261*F262,0)</f>
        <v>6.8385790714214716</v>
      </c>
      <c r="I262" s="31">
        <f>IF(AND(12*años+gracia-B261&gt;0,$L$2&lt;&gt;1),G262-H262,0)</f>
        <v>12.330141412993758</v>
      </c>
      <c r="J262" s="62"/>
      <c r="K262" s="61">
        <f t="shared" si="43"/>
        <v>2076.5894204307751</v>
      </c>
      <c r="L262" s="61">
        <f>L261*(1+$J$17)^(1/12)</f>
        <v>7851.9991826945097</v>
      </c>
      <c r="M262" s="31">
        <f t="shared" si="44"/>
        <v>12</v>
      </c>
      <c r="N262" s="31">
        <f t="shared" si="45"/>
        <v>0</v>
      </c>
      <c r="O262" s="31">
        <f t="shared" si="46"/>
        <v>-2.25</v>
      </c>
      <c r="P262" s="62"/>
      <c r="Q262" s="31">
        <f t="shared" si="39"/>
        <v>-9.4187204844152284</v>
      </c>
      <c r="R262" s="31">
        <f>SUM($Q$36:Q262)</f>
        <v>-2724.0308294778329</v>
      </c>
      <c r="S262" s="83">
        <f>IF($L$2&lt;&gt;1,-(R262-$R$36)/B262*12/$Q$36,0)</f>
        <v>-0.18982977126802533</v>
      </c>
      <c r="T262" s="31">
        <f>SUMPRODUCT($Q$36:Q262,$E$36:E262)/E262-R262</f>
        <v>-2176.9861487222174</v>
      </c>
      <c r="U262" s="31">
        <f t="shared" si="40"/>
        <v>3051.3789327859013</v>
      </c>
      <c r="V262" s="31">
        <f t="shared" si="41"/>
        <v>3646.7789327859014</v>
      </c>
      <c r="W262" s="80" cm="1">
        <f t="array" ref="W262">IF($L$2&lt;&gt;1,IRR(IF(ROW($Q$36:Q262)=ROW(Q262),Q262+L262-K262,$Q$36:Q262),W261/12)*12,0)</f>
        <v>6.0078951706389994E-2</v>
      </c>
      <c r="X262" s="83">
        <f>(1+W262/12)^(B262)-1</f>
        <v>2.0915231641035583</v>
      </c>
    </row>
    <row r="263" spans="2:24" x14ac:dyDescent="0.25">
      <c r="B263" s="33">
        <v>227</v>
      </c>
      <c r="C263" s="81">
        <f t="shared" si="37"/>
        <v>18.916666666666668</v>
      </c>
      <c r="D263" s="105">
        <f t="shared" si="38"/>
        <v>3.9789301544717048E-3</v>
      </c>
      <c r="E263" s="106">
        <f t="shared" si="42"/>
        <v>0.4059907193189437</v>
      </c>
      <c r="F263" s="60">
        <f>rate</f>
        <v>3.2737397821989145E-3</v>
      </c>
      <c r="G263" s="31">
        <f>IF(AND(B262&gt;=gracia,12*años+gracia-B262&gt;0,$L$2&lt;&gt;1),PMT(F262,12*años-B262+gracia,-K262),0)</f>
        <v>19.168720484415225</v>
      </c>
      <c r="H263" s="31">
        <f>IF(AND(12*años+gracia-B262&gt;0,$L$2&lt;&gt;1),K262*F263,0)</f>
        <v>6.7982133969576157</v>
      </c>
      <c r="I263" s="31">
        <f>IF(AND(12*años+gracia-B262&gt;0,$L$2&lt;&gt;1),G263-H263,0)</f>
        <v>12.370507087457609</v>
      </c>
      <c r="J263" s="62"/>
      <c r="K263" s="61">
        <f t="shared" si="43"/>
        <v>2064.2189133433176</v>
      </c>
      <c r="L263" s="61">
        <f>L262*(1+$J$17)^(1/12)</f>
        <v>7871.3643309309427</v>
      </c>
      <c r="M263" s="31">
        <f t="shared" si="44"/>
        <v>12</v>
      </c>
      <c r="N263" s="31">
        <f t="shared" si="45"/>
        <v>0</v>
      </c>
      <c r="O263" s="31">
        <f t="shared" si="46"/>
        <v>-2.25</v>
      </c>
      <c r="P263" s="62"/>
      <c r="Q263" s="31">
        <f t="shared" si="39"/>
        <v>-9.4187204844152248</v>
      </c>
      <c r="R263" s="31">
        <f>SUM($Q$36:Q263)</f>
        <v>-2733.4495499622481</v>
      </c>
      <c r="S263" s="83">
        <f>IF($L$2&lt;&gt;1,-(R263-$R$36)/B263*12/$Q$36,0)</f>
        <v>-0.18982977126802533</v>
      </c>
      <c r="T263" s="31">
        <f>SUMPRODUCT($Q$36:Q263,$E$36:E263)/E263-R263</f>
        <v>-2196.4869529643547</v>
      </c>
      <c r="U263" s="31">
        <f t="shared" si="40"/>
        <v>3073.6958676253771</v>
      </c>
      <c r="V263" s="31">
        <f t="shared" si="41"/>
        <v>3669.0958676253772</v>
      </c>
      <c r="W263" s="80" cm="1">
        <f t="array" ref="W263">IF($L$2&lt;&gt;1,IRR(IF(ROW($Q$36:Q263)=ROW(Q263),Q263+L263-K263,$Q$36:Q263),W262/12)*12,0)</f>
        <v>5.9995229422585616E-2</v>
      </c>
      <c r="X263" s="83">
        <f>(1+W263/12)^(B263)-1</f>
        <v>2.1021087697625753</v>
      </c>
    </row>
    <row r="264" spans="2:24" x14ac:dyDescent="0.25">
      <c r="B264" s="33">
        <v>228</v>
      </c>
      <c r="C264" s="81">
        <f t="shared" si="37"/>
        <v>19</v>
      </c>
      <c r="D264" s="105">
        <f t="shared" si="38"/>
        <v>3.9789301544717048E-3</v>
      </c>
      <c r="E264" s="106">
        <f t="shared" si="42"/>
        <v>0.40438171272825235</v>
      </c>
      <c r="F264" s="60">
        <f>rate</f>
        <v>3.2737397821989145E-3</v>
      </c>
      <c r="G264" s="31">
        <f>IF(AND(B263&gt;=gracia,12*años+gracia-B263&gt;0,$L$2&lt;&gt;1),PMT(F263,12*años-B263+gracia,-K263),0)</f>
        <v>19.168720484415225</v>
      </c>
      <c r="H264" s="31">
        <f>IF(AND(12*años+gracia-B263&gt;0,$L$2&lt;&gt;1),K263*F264,0)</f>
        <v>6.7577155757794323</v>
      </c>
      <c r="I264" s="31">
        <f>IF(AND(12*años+gracia-B263&gt;0,$L$2&lt;&gt;1),G264-H264,0)</f>
        <v>12.411004908635793</v>
      </c>
      <c r="J264" s="62"/>
      <c r="K264" s="61">
        <f t="shared" si="43"/>
        <v>2051.8079084346818</v>
      </c>
      <c r="L264" s="61">
        <f>L263*(1+$J$17)^(1/12)</f>
        <v>7890.7772388471076</v>
      </c>
      <c r="M264" s="31">
        <f t="shared" si="44"/>
        <v>12</v>
      </c>
      <c r="N264" s="31">
        <f t="shared" si="45"/>
        <v>0</v>
      </c>
      <c r="O264" s="31">
        <f t="shared" si="46"/>
        <v>-2.25</v>
      </c>
      <c r="P264" s="62"/>
      <c r="Q264" s="31">
        <f t="shared" si="39"/>
        <v>-9.4187204844152248</v>
      </c>
      <c r="R264" s="31">
        <f>SUM($Q$36:Q264)</f>
        <v>-2742.8682704466632</v>
      </c>
      <c r="S264" s="83">
        <f>IF($L$2&lt;&gt;1,-(R264-$R$36)/B264*12/$Q$36,0)</f>
        <v>-0.18982977126802533</v>
      </c>
      <c r="T264" s="31">
        <f>SUMPRODUCT($Q$36:Q264,$E$36:E264)/E264-R264</f>
        <v>-2216.1028259754808</v>
      </c>
      <c r="U264" s="31">
        <f t="shared" si="40"/>
        <v>3096.101059965762</v>
      </c>
      <c r="V264" s="31">
        <f t="shared" si="41"/>
        <v>3691.5010599657621</v>
      </c>
      <c r="W264" s="80" cm="1">
        <f t="array" ref="W264">IF($L$2&lt;&gt;1,IRR(IF(ROW($Q$36:Q264)=ROW(Q264),Q264+L264-K264,$Q$36:Q264),W263/12)*12,0)</f>
        <v>5.9911941744759112E-2</v>
      </c>
      <c r="X264" s="83">
        <f>(1+W264/12)^(B264)-1</f>
        <v>2.1127129449667148</v>
      </c>
    </row>
    <row r="265" spans="2:24" x14ac:dyDescent="0.25">
      <c r="B265" s="33">
        <v>229</v>
      </c>
      <c r="C265" s="81">
        <f t="shared" si="37"/>
        <v>19.083333333333332</v>
      </c>
      <c r="D265" s="105">
        <f t="shared" si="38"/>
        <v>3.9789301544717048E-3</v>
      </c>
      <c r="E265" s="106">
        <f t="shared" si="42"/>
        <v>0.40277908288975184</v>
      </c>
      <c r="F265" s="60">
        <f>rate</f>
        <v>3.2737397821989145E-3</v>
      </c>
      <c r="G265" s="31">
        <f>IF(AND(B264&gt;=gracia,12*años+gracia-B264&gt;0,$L$2&lt;&gt;1),PMT(F264,12*años-B264+gracia,-K264),0)</f>
        <v>19.168720484415228</v>
      </c>
      <c r="H265" s="31">
        <f>IF(AND(12*años+gracia-B264&gt;0,$L$2&lt;&gt;1),K264*F265,0)</f>
        <v>6.7170851752729659</v>
      </c>
      <c r="I265" s="31">
        <f>IF(AND(12*años+gracia-B264&gt;0,$L$2&lt;&gt;1),G265-H265,0)</f>
        <v>12.451635309142262</v>
      </c>
      <c r="J265" s="62"/>
      <c r="K265" s="61">
        <f t="shared" si="43"/>
        <v>2039.3562731255397</v>
      </c>
      <c r="L265" s="61">
        <f>L264*(1+$J$17)^(1/12)</f>
        <v>7910.2380242312584</v>
      </c>
      <c r="M265" s="31">
        <f t="shared" si="44"/>
        <v>12</v>
      </c>
      <c r="N265" s="31">
        <f t="shared" si="45"/>
        <v>0</v>
      </c>
      <c r="O265" s="31">
        <f t="shared" si="46"/>
        <v>-2.25</v>
      </c>
      <c r="P265" s="62"/>
      <c r="Q265" s="31">
        <f t="shared" si="39"/>
        <v>-9.4187204844152284</v>
      </c>
      <c r="R265" s="31">
        <f>SUM($Q$36:Q265)</f>
        <v>-2752.2869909310784</v>
      </c>
      <c r="S265" s="83">
        <f>IF($L$2&lt;&gt;1,-(R265-$R$36)/B265*12/$Q$36,0)</f>
        <v>-0.18982977126802533</v>
      </c>
      <c r="T265" s="31">
        <f>SUMPRODUCT($Q$36:Q265,$E$36:E265)/E265-R265</f>
        <v>-2235.8342256061887</v>
      </c>
      <c r="U265" s="31">
        <f t="shared" si="40"/>
        <v>3118.5947601746402</v>
      </c>
      <c r="V265" s="31">
        <f t="shared" si="41"/>
        <v>3713.9947601746403</v>
      </c>
      <c r="W265" s="80" cm="1">
        <f t="array" ref="W265">IF($L$2&lt;&gt;1,IRR(IF(ROW($Q$36:Q265)=ROW(Q265),Q265+L265-K265,$Q$36:Q265),W264/12)*12,0)</f>
        <v>5.9829086017565203E-2</v>
      </c>
      <c r="X265" s="83">
        <f>(1+W265/12)^(B265)-1</f>
        <v>2.1233358128193873</v>
      </c>
    </row>
    <row r="266" spans="2:24" x14ac:dyDescent="0.25">
      <c r="B266" s="33">
        <v>230</v>
      </c>
      <c r="C266" s="81">
        <f t="shared" si="37"/>
        <v>19.166666666666668</v>
      </c>
      <c r="D266" s="105">
        <f t="shared" si="38"/>
        <v>3.9789301544717048E-3</v>
      </c>
      <c r="E266" s="106">
        <f t="shared" si="42"/>
        <v>0.40118280453134653</v>
      </c>
      <c r="F266" s="60">
        <f>rate</f>
        <v>3.2737397821989145E-3</v>
      </c>
      <c r="G266" s="31">
        <f>IF(AND(B265&gt;=gracia,12*años+gracia-B265&gt;0,$L$2&lt;&gt;1),PMT(F265,12*años-B265+gracia,-K265),0)</f>
        <v>19.168720484415225</v>
      </c>
      <c r="H266" s="31">
        <f>IF(AND(12*años+gracia-B265&gt;0,$L$2&lt;&gt;1),K265*F266,0)</f>
        <v>6.6763217614079942</v>
      </c>
      <c r="I266" s="31">
        <f>IF(AND(12*años+gracia-B265&gt;0,$L$2&lt;&gt;1),G266-H266,0)</f>
        <v>12.492398723007231</v>
      </c>
      <c r="J266" s="62"/>
      <c r="K266" s="61">
        <f t="shared" si="43"/>
        <v>2026.8638744025325</v>
      </c>
      <c r="L266" s="61">
        <f>L265*(1+$J$17)^(1/12)</f>
        <v>7929.7468051621472</v>
      </c>
      <c r="M266" s="31">
        <f t="shared" si="44"/>
        <v>12</v>
      </c>
      <c r="N266" s="31">
        <f t="shared" si="45"/>
        <v>0</v>
      </c>
      <c r="O266" s="31">
        <f t="shared" si="46"/>
        <v>-2.25</v>
      </c>
      <c r="P266" s="62"/>
      <c r="Q266" s="31">
        <f t="shared" si="39"/>
        <v>-9.4187204844152248</v>
      </c>
      <c r="R266" s="31">
        <f>SUM($Q$36:Q266)</f>
        <v>-2761.7057114154936</v>
      </c>
      <c r="S266" s="83">
        <f>IF($L$2&lt;&gt;1,-(R266-$R$36)/B266*12/$Q$36,0)</f>
        <v>-0.18982977126802533</v>
      </c>
      <c r="T266" s="31">
        <f>SUMPRODUCT($Q$36:Q266,$E$36:E266)/E266-R266</f>
        <v>-2255.6816115288289</v>
      </c>
      <c r="U266" s="31">
        <f t="shared" si="40"/>
        <v>3141.1772193441211</v>
      </c>
      <c r="V266" s="31">
        <f t="shared" si="41"/>
        <v>3736.5772193441212</v>
      </c>
      <c r="W266" s="80" cm="1">
        <f t="array" ref="W266">IF($L$2&lt;&gt;1,IRR(IF(ROW($Q$36:Q266)=ROW(Q266),Q266+L266-K266,$Q$36:Q266),W265/12)*12,0)</f>
        <v>5.9746659592740947E-2</v>
      </c>
      <c r="X266" s="83">
        <f>(1+W266/12)^(B266)-1</f>
        <v>2.133977496034829</v>
      </c>
    </row>
    <row r="267" spans="2:24" x14ac:dyDescent="0.25">
      <c r="B267" s="33">
        <v>231</v>
      </c>
      <c r="C267" s="81">
        <f t="shared" si="37"/>
        <v>19.25</v>
      </c>
      <c r="D267" s="105">
        <f t="shared" si="38"/>
        <v>3.9789301544717048E-3</v>
      </c>
      <c r="E267" s="106">
        <f t="shared" si="42"/>
        <v>0.3995928524810981</v>
      </c>
      <c r="F267" s="60">
        <f>rate</f>
        <v>3.2737397821989145E-3</v>
      </c>
      <c r="G267" s="31">
        <f>IF(AND(B266&gt;=gracia,12*años+gracia-B266&gt;0,$L$2&lt;&gt;1),PMT(F266,12*años-B266+gracia,-K266),0)</f>
        <v>19.168720484415225</v>
      </c>
      <c r="H267" s="31">
        <f>IF(AND(12*años+gracia-B266&gt;0,$L$2&lt;&gt;1),K266*F267,0)</f>
        <v>6.6354248987333948</v>
      </c>
      <c r="I267" s="31">
        <f>IF(AND(12*años+gracia-B266&gt;0,$L$2&lt;&gt;1),G267-H267,0)</f>
        <v>12.533295585681831</v>
      </c>
      <c r="J267" s="62"/>
      <c r="K267" s="61">
        <f t="shared" si="43"/>
        <v>2014.3305788168507</v>
      </c>
      <c r="L267" s="61">
        <f>L266*(1+$J$17)^(1/12)</f>
        <v>7949.3037000097402</v>
      </c>
      <c r="M267" s="31">
        <f t="shared" si="44"/>
        <v>12</v>
      </c>
      <c r="N267" s="31">
        <f t="shared" si="45"/>
        <v>0</v>
      </c>
      <c r="O267" s="31">
        <f t="shared" si="46"/>
        <v>-2.25</v>
      </c>
      <c r="P267" s="62"/>
      <c r="Q267" s="31">
        <f t="shared" si="39"/>
        <v>-9.4187204844152248</v>
      </c>
      <c r="R267" s="31">
        <f>SUM($Q$36:Q267)</f>
        <v>-2771.1244318999088</v>
      </c>
      <c r="S267" s="83">
        <f>IF($L$2&lt;&gt;1,-(R267-$R$36)/B267*12/$Q$36,0)</f>
        <v>-0.18982977126802533</v>
      </c>
      <c r="T267" s="31">
        <f>SUMPRODUCT($Q$36:Q267,$E$36:E267)/E267-R267</f>
        <v>-2275.645445244756</v>
      </c>
      <c r="U267" s="31">
        <f t="shared" si="40"/>
        <v>3163.8486892929805</v>
      </c>
      <c r="V267" s="31">
        <f t="shared" si="41"/>
        <v>3759.2486892929805</v>
      </c>
      <c r="W267" s="80" cm="1">
        <f t="array" ref="W267">IF($L$2&lt;&gt;1,IRR(IF(ROW($Q$36:Q267)=ROW(Q267),Q267+L267-K267,$Q$36:Q267),W266/12)*12,0)</f>
        <v>5.9664659829604005E-2</v>
      </c>
      <c r="X267" s="83">
        <f>(1+W267/12)^(B267)-1</f>
        <v>2.1446381169483302</v>
      </c>
    </row>
    <row r="268" spans="2:24" x14ac:dyDescent="0.25">
      <c r="B268" s="33">
        <v>232</v>
      </c>
      <c r="C268" s="81">
        <f t="shared" si="37"/>
        <v>19.333333333333332</v>
      </c>
      <c r="D268" s="105">
        <f t="shared" si="38"/>
        <v>3.9789301544717048E-3</v>
      </c>
      <c r="E268" s="106">
        <f t="shared" si="42"/>
        <v>0.39800920166682874</v>
      </c>
      <c r="F268" s="60">
        <f>rate</f>
        <v>3.2737397821989145E-3</v>
      </c>
      <c r="G268" s="31">
        <f>IF(AND(B267&gt;=gracia,12*años+gracia-B267&gt;0,$L$2&lt;&gt;1),PMT(F267,12*años-B267+gracia,-K267),0)</f>
        <v>19.168720484415228</v>
      </c>
      <c r="H268" s="31">
        <f>IF(AND(12*años+gracia-B267&gt;0,$L$2&lt;&gt;1),K267*F268,0)</f>
        <v>6.5943941503724899</v>
      </c>
      <c r="I268" s="31">
        <f>IF(AND(12*años+gracia-B267&gt;0,$L$2&lt;&gt;1),G268-H268,0)</f>
        <v>12.574326334042738</v>
      </c>
      <c r="J268" s="62"/>
      <c r="K268" s="61">
        <f t="shared" si="43"/>
        <v>2001.7562524828079</v>
      </c>
      <c r="L268" s="61">
        <f>L267*(1+$J$17)^(1/12)</f>
        <v>7968.9088274359365</v>
      </c>
      <c r="M268" s="31">
        <f t="shared" si="44"/>
        <v>12</v>
      </c>
      <c r="N268" s="31">
        <f t="shared" si="45"/>
        <v>0</v>
      </c>
      <c r="O268" s="31">
        <f t="shared" si="46"/>
        <v>-2.25</v>
      </c>
      <c r="P268" s="62"/>
      <c r="Q268" s="31">
        <f t="shared" si="39"/>
        <v>-9.4187204844152284</v>
      </c>
      <c r="R268" s="31">
        <f>SUM($Q$36:Q268)</f>
        <v>-2780.543152384324</v>
      </c>
      <c r="S268" s="83">
        <f>IF($L$2&lt;&gt;1,-(R268-$R$36)/B268*12/$Q$36,0)</f>
        <v>-0.18982977126802533</v>
      </c>
      <c r="T268" s="31">
        <f>SUMPRODUCT($Q$36:Q268,$E$36:E268)/E268-R268</f>
        <v>-2295.7261900916069</v>
      </c>
      <c r="U268" s="31">
        <f t="shared" si="40"/>
        <v>3186.6094225688048</v>
      </c>
      <c r="V268" s="31">
        <f t="shared" si="41"/>
        <v>3782.0094225688049</v>
      </c>
      <c r="W268" s="80" cm="1">
        <f t="array" ref="W268">IF($L$2&lt;&gt;1,IRR(IF(ROW($Q$36:Q268)=ROW(Q268),Q268+L268-K268,$Q$36:Q268),W267/12)*12,0)</f>
        <v>5.958308409548696E-2</v>
      </c>
      <c r="X268" s="83">
        <f>(1+W268/12)^(B268)-1</f>
        <v>2.1553177975230291</v>
      </c>
    </row>
    <row r="269" spans="2:24" x14ac:dyDescent="0.25">
      <c r="B269" s="33">
        <v>233</v>
      </c>
      <c r="C269" s="81">
        <f t="shared" si="37"/>
        <v>19.416666666666668</v>
      </c>
      <c r="D269" s="105">
        <f t="shared" si="38"/>
        <v>3.9789301544717048E-3</v>
      </c>
      <c r="E269" s="106">
        <f t="shared" si="42"/>
        <v>0.39643182711572567</v>
      </c>
      <c r="F269" s="60">
        <f>rate</f>
        <v>3.2737397821989145E-3</v>
      </c>
      <c r="G269" s="31">
        <f>IF(AND(B268&gt;=gracia,12*años+gracia-B268&gt;0,$L$2&lt;&gt;1),PMT(F268,12*años-B268+gracia,-K268),0)</f>
        <v>19.168720484415225</v>
      </c>
      <c r="H269" s="31">
        <f>IF(AND(12*años+gracia-B268&gt;0,$L$2&lt;&gt;1),K268*F269,0)</f>
        <v>6.5532290780183828</v>
      </c>
      <c r="I269" s="31">
        <f>IF(AND(12*años+gracia-B268&gt;0,$L$2&lt;&gt;1),G269-H269,0)</f>
        <v>12.615491406396842</v>
      </c>
      <c r="J269" s="62"/>
      <c r="K269" s="61">
        <f t="shared" si="43"/>
        <v>1989.1407610764111</v>
      </c>
      <c r="L269" s="61">
        <f>L268*(1+$J$17)^(1/12)</f>
        <v>7988.5623063952853</v>
      </c>
      <c r="M269" s="31">
        <f t="shared" si="44"/>
        <v>12</v>
      </c>
      <c r="N269" s="31">
        <f t="shared" si="45"/>
        <v>0</v>
      </c>
      <c r="O269" s="31">
        <f t="shared" si="46"/>
        <v>-2.25</v>
      </c>
      <c r="P269" s="62"/>
      <c r="Q269" s="31">
        <f t="shared" si="39"/>
        <v>-9.4187204844152248</v>
      </c>
      <c r="R269" s="31">
        <f>SUM($Q$36:Q269)</f>
        <v>-2789.9618728687392</v>
      </c>
      <c r="S269" s="83">
        <f>IF($L$2&lt;&gt;1,-(R269-$R$36)/B269*12/$Q$36,0)</f>
        <v>-0.18982977126802533</v>
      </c>
      <c r="T269" s="31">
        <f>SUMPRODUCT($Q$36:Q269,$E$36:E269)/E269-R269</f>
        <v>-2315.9243112506047</v>
      </c>
      <c r="U269" s="31">
        <f t="shared" si="40"/>
        <v>3209.4596724501353</v>
      </c>
      <c r="V269" s="31">
        <f t="shared" si="41"/>
        <v>3804.8596724501353</v>
      </c>
      <c r="W269" s="80" cm="1">
        <f t="array" ref="W269">IF($L$2&lt;&gt;1,IRR(IF(ROW($Q$36:Q269)=ROW(Q269),Q269+L269-K269,$Q$36:Q269),W268/12)*12,0)</f>
        <v>5.9501929766190287E-2</v>
      </c>
      <c r="X269" s="83">
        <f>(1+W269/12)^(B269)-1</f>
        <v>2.1660166593599182</v>
      </c>
    </row>
    <row r="270" spans="2:24" x14ac:dyDescent="0.25">
      <c r="B270" s="33">
        <v>234</v>
      </c>
      <c r="C270" s="81">
        <f t="shared" si="37"/>
        <v>19.5</v>
      </c>
      <c r="D270" s="105">
        <f t="shared" si="38"/>
        <v>3.9789301544717048E-3</v>
      </c>
      <c r="E270" s="106">
        <f t="shared" si="42"/>
        <v>0.3948607039539474</v>
      </c>
      <c r="F270" s="60">
        <f>rate</f>
        <v>3.2737397821989145E-3</v>
      </c>
      <c r="G270" s="31">
        <f>IF(AND(B269&gt;=gracia,12*años+gracia-B269&gt;0,$L$2&lt;&gt;1),PMT(F269,12*años-B269+gracia,-K269),0)</f>
        <v>19.168720484415225</v>
      </c>
      <c r="H270" s="31">
        <f>IF(AND(12*años+gracia-B269&gt;0,$L$2&lt;&gt;1),K269*F270,0)</f>
        <v>6.5119292419292734</v>
      </c>
      <c r="I270" s="31">
        <f>IF(AND(12*años+gracia-B269&gt;0,$L$2&lt;&gt;1),G270-H270,0)</f>
        <v>12.656791242485951</v>
      </c>
      <c r="J270" s="62"/>
      <c r="K270" s="61">
        <f t="shared" si="43"/>
        <v>1976.4839698339251</v>
      </c>
      <c r="L270" s="61">
        <f>L269*(1+$J$17)^(1/12)</f>
        <v>8008.2642561357125</v>
      </c>
      <c r="M270" s="31">
        <f t="shared" si="44"/>
        <v>12</v>
      </c>
      <c r="N270" s="31">
        <f t="shared" si="45"/>
        <v>0</v>
      </c>
      <c r="O270" s="31">
        <f t="shared" si="46"/>
        <v>-2.25</v>
      </c>
      <c r="P270" s="62"/>
      <c r="Q270" s="31">
        <f t="shared" si="39"/>
        <v>-9.4187204844152248</v>
      </c>
      <c r="R270" s="31">
        <f>SUM($Q$36:Q270)</f>
        <v>-2799.3805933531544</v>
      </c>
      <c r="S270" s="83">
        <f>IF($L$2&lt;&gt;1,-(R270-$R$36)/B270*12/$Q$36,0)</f>
        <v>-0.18982977126802533</v>
      </c>
      <c r="T270" s="31">
        <f>SUMPRODUCT($Q$36:Q270,$E$36:E270)/E270-R270</f>
        <v>-2336.2402757538971</v>
      </c>
      <c r="U270" s="31">
        <f t="shared" si="40"/>
        <v>3232.3996929486329</v>
      </c>
      <c r="V270" s="31">
        <f t="shared" si="41"/>
        <v>3827.799692948633</v>
      </c>
      <c r="W270" s="80" cm="1">
        <f t="array" ref="W270">IF($L$2&lt;&gt;1,IRR(IF(ROW($Q$36:Q270)=ROW(Q270),Q270+L270-K270,$Q$36:Q270),W269/12)*12,0)</f>
        <v>5.9421194226387364E-2</v>
      </c>
      <c r="X270" s="83">
        <f>(1+W270/12)^(B270)-1</f>
        <v>2.1767348237059894</v>
      </c>
    </row>
    <row r="271" spans="2:24" x14ac:dyDescent="0.25">
      <c r="B271" s="33">
        <v>235</v>
      </c>
      <c r="C271" s="81">
        <f t="shared" si="37"/>
        <v>19.583333333333332</v>
      </c>
      <c r="D271" s="105">
        <f t="shared" si="38"/>
        <v>3.9789301544717048E-3</v>
      </c>
      <c r="E271" s="106">
        <f t="shared" si="42"/>
        <v>0.39329580740623143</v>
      </c>
      <c r="F271" s="60">
        <f>rate</f>
        <v>3.2737397821989145E-3</v>
      </c>
      <c r="G271" s="31">
        <f>IF(AND(B270&gt;=gracia,12*años+gracia-B270&gt;0,$L$2&lt;&gt;1),PMT(F270,12*años-B270+gracia,-K270),0)</f>
        <v>19.168720484415225</v>
      </c>
      <c r="H271" s="31">
        <f>IF(AND(12*años+gracia-B270&gt;0,$L$2&lt;&gt;1),K270*F271,0)</f>
        <v>6.4704942009237598</v>
      </c>
      <c r="I271" s="31">
        <f>IF(AND(12*años+gracia-B270&gt;0,$L$2&lt;&gt;1),G271-H271,0)</f>
        <v>12.698226283491465</v>
      </c>
      <c r="J271" s="62"/>
      <c r="K271" s="61">
        <f t="shared" si="43"/>
        <v>1963.7857435504336</v>
      </c>
      <c r="L271" s="61">
        <f>L270*(1+$J$17)^(1/12)</f>
        <v>8028.0147961992398</v>
      </c>
      <c r="M271" s="31">
        <f t="shared" si="44"/>
        <v>12</v>
      </c>
      <c r="N271" s="31">
        <f t="shared" si="45"/>
        <v>0</v>
      </c>
      <c r="O271" s="31">
        <f t="shared" si="46"/>
        <v>-2.25</v>
      </c>
      <c r="P271" s="62"/>
      <c r="Q271" s="31">
        <f t="shared" si="39"/>
        <v>-9.4187204844152248</v>
      </c>
      <c r="R271" s="31">
        <f>SUM($Q$36:Q271)</f>
        <v>-2808.7993138375696</v>
      </c>
      <c r="S271" s="83">
        <f>IF($L$2&lt;&gt;1,-(R271-$R$36)/B271*12/$Q$36,0)</f>
        <v>-0.18982977126802533</v>
      </c>
      <c r="T271" s="31">
        <f>SUMPRODUCT($Q$36:Q271,$E$36:E271)/E271-R271</f>
        <v>-2356.6745524919215</v>
      </c>
      <c r="U271" s="31">
        <f t="shared" si="40"/>
        <v>3255.4297388112363</v>
      </c>
      <c r="V271" s="31">
        <f t="shared" si="41"/>
        <v>3850.8297388112364</v>
      </c>
      <c r="W271" s="80" cm="1">
        <f t="array" ref="W271">IF($L$2&lt;&gt;1,IRR(IF(ROW($Q$36:Q271)=ROW(Q271),Q271+L271-K271,$Q$36:Q271),W270/12)*12,0)</f>
        <v>5.9340874870002835E-2</v>
      </c>
      <c r="X271" s="83">
        <f>(1+W271/12)^(B271)-1</f>
        <v>2.1874724114619108</v>
      </c>
    </row>
    <row r="272" spans="2:24" x14ac:dyDescent="0.25">
      <c r="B272" s="33">
        <v>236</v>
      </c>
      <c r="C272" s="81">
        <f t="shared" si="37"/>
        <v>19.666666666666668</v>
      </c>
      <c r="D272" s="105">
        <f t="shared" si="38"/>
        <v>3.9789301544717048E-3</v>
      </c>
      <c r="E272" s="106">
        <f t="shared" si="42"/>
        <v>0.39173711279550372</v>
      </c>
      <c r="F272" s="60">
        <f>rate</f>
        <v>3.2737397821989145E-3</v>
      </c>
      <c r="G272" s="31">
        <f>IF(AND(B271&gt;=gracia,12*años+gracia-B271&gt;0,$L$2&lt;&gt;1),PMT(F271,12*años-B271+gracia,-K271),0)</f>
        <v>19.168720484415225</v>
      </c>
      <c r="H272" s="31">
        <f>IF(AND(12*años+gracia-B271&gt;0,$L$2&lt;&gt;1),K271*F272,0)</f>
        <v>6.4289235123761301</v>
      </c>
      <c r="I272" s="31">
        <f>IF(AND(12*años+gracia-B271&gt;0,$L$2&lt;&gt;1),G272-H272,0)</f>
        <v>12.739796972039095</v>
      </c>
      <c r="J272" s="62"/>
      <c r="K272" s="61">
        <f t="shared" si="43"/>
        <v>1951.0459465783945</v>
      </c>
      <c r="L272" s="61">
        <f>L271*(1+$J$17)^(1/12)</f>
        <v>8047.8140464227126</v>
      </c>
      <c r="M272" s="31">
        <f t="shared" si="44"/>
        <v>12</v>
      </c>
      <c r="N272" s="31">
        <f t="shared" si="45"/>
        <v>0</v>
      </c>
      <c r="O272" s="31">
        <f t="shared" si="46"/>
        <v>-2.25</v>
      </c>
      <c r="P272" s="62"/>
      <c r="Q272" s="31">
        <f t="shared" si="39"/>
        <v>-9.4187204844152248</v>
      </c>
      <c r="R272" s="31">
        <f>SUM($Q$36:Q272)</f>
        <v>-2818.2180343219848</v>
      </c>
      <c r="S272" s="83">
        <f>IF($L$2&lt;&gt;1,-(R272-$R$36)/B272*12/$Q$36,0)</f>
        <v>-0.18982977126802533</v>
      </c>
      <c r="T272" s="31">
        <f>SUMPRODUCT($Q$36:Q272,$E$36:E272)/E272-R272</f>
        <v>-2377.2276122207954</v>
      </c>
      <c r="U272" s="31">
        <f t="shared" si="40"/>
        <v>3278.5500655223332</v>
      </c>
      <c r="V272" s="31">
        <f t="shared" si="41"/>
        <v>3873.9500655223333</v>
      </c>
      <c r="W272" s="80" cm="1">
        <f t="array" ref="W272">IF($L$2&lt;&gt;1,IRR(IF(ROW($Q$36:Q272)=ROW(Q272),Q272+L272-K272,$Q$36:Q272),W271/12)*12,0)</f>
        <v>5.9260969100593641E-2</v>
      </c>
      <c r="X272" s="83">
        <f>(1+W272/12)^(B272)-1</f>
        <v>2.1982295431907741</v>
      </c>
    </row>
    <row r="273" spans="2:24" x14ac:dyDescent="0.25">
      <c r="B273" s="33">
        <v>237</v>
      </c>
      <c r="C273" s="81">
        <f t="shared" si="37"/>
        <v>19.75</v>
      </c>
      <c r="D273" s="105">
        <f t="shared" si="38"/>
        <v>3.9789301544717048E-3</v>
      </c>
      <c r="E273" s="106">
        <f t="shared" si="42"/>
        <v>0.39018459554248935</v>
      </c>
      <c r="F273" s="60">
        <f>rate</f>
        <v>3.2737397821989145E-3</v>
      </c>
      <c r="G273" s="31">
        <f>IF(AND(B272&gt;=gracia,12*años+gracia-B272&gt;0,$L$2&lt;&gt;1),PMT(F272,12*años-B272+gracia,-K272),0)</f>
        <v>19.168720484415228</v>
      </c>
      <c r="H273" s="31">
        <f>IF(AND(12*años+gracia-B272&gt;0,$L$2&lt;&gt;1),K272*F273,0)</f>
        <v>6.3872167322116278</v>
      </c>
      <c r="I273" s="31">
        <f>IF(AND(12*años+gracia-B272&gt;0,$L$2&lt;&gt;1),G273-H273,0)</f>
        <v>12.781503752203601</v>
      </c>
      <c r="J273" s="62"/>
      <c r="K273" s="61">
        <f t="shared" si="43"/>
        <v>1938.2644428261908</v>
      </c>
      <c r="L273" s="61">
        <f>L272*(1+$J$17)^(1/12)</f>
        <v>8067.6621269385259</v>
      </c>
      <c r="M273" s="31">
        <f t="shared" si="44"/>
        <v>12</v>
      </c>
      <c r="N273" s="31">
        <f t="shared" si="45"/>
        <v>0</v>
      </c>
      <c r="O273" s="31">
        <f t="shared" si="46"/>
        <v>-2.25</v>
      </c>
      <c r="P273" s="62"/>
      <c r="Q273" s="31">
        <f t="shared" si="39"/>
        <v>-9.4187204844152284</v>
      </c>
      <c r="R273" s="31">
        <f>SUM($Q$36:Q273)</f>
        <v>-2827.6367548063999</v>
      </c>
      <c r="S273" s="83">
        <f>IF($L$2&lt;&gt;1,-(R273-$R$36)/B273*12/$Q$36,0)</f>
        <v>-0.18982977126802533</v>
      </c>
      <c r="T273" s="31">
        <f>SUMPRODUCT($Q$36:Q273,$E$36:E273)/E273-R273</f>
        <v>-2397.8999275697442</v>
      </c>
      <c r="U273" s="31">
        <f t="shared" si="40"/>
        <v>3301.760929305935</v>
      </c>
      <c r="V273" s="31">
        <f t="shared" si="41"/>
        <v>3897.160929305935</v>
      </c>
      <c r="W273" s="80" cm="1">
        <f t="array" ref="W273">IF($L$2&lt;&gt;1,IRR(IF(ROW($Q$36:Q273)=ROW(Q273),Q273+L273-K273,$Q$36:Q273),W272/12)*12,0)</f>
        <v>5.9181474331684747E-2</v>
      </c>
      <c r="X273" s="83">
        <f>(1+W273/12)^(B273)-1</f>
        <v>2.2090063391262063</v>
      </c>
    </row>
    <row r="274" spans="2:24" x14ac:dyDescent="0.25">
      <c r="B274" s="33">
        <v>238</v>
      </c>
      <c r="C274" s="81">
        <f t="shared" si="37"/>
        <v>19.833333333333332</v>
      </c>
      <c r="D274" s="105">
        <f t="shared" si="38"/>
        <v>3.9789301544717048E-3</v>
      </c>
      <c r="E274" s="106">
        <f t="shared" si="42"/>
        <v>0.38863823116532509</v>
      </c>
      <c r="F274" s="60">
        <f>rate</f>
        <v>3.2737397821989145E-3</v>
      </c>
      <c r="G274" s="31">
        <f>IF(AND(B273&gt;=gracia,12*años+gracia-B273&gt;0,$L$2&lt;&gt;1),PMT(F273,12*años-B273+gracia,-K273),0)</f>
        <v>19.168720484415225</v>
      </c>
      <c r="H274" s="31">
        <f>IF(AND(12*años+gracia-B273&gt;0,$L$2&lt;&gt;1),K273*F274,0)</f>
        <v>6.3453734149017142</v>
      </c>
      <c r="I274" s="31">
        <f>IF(AND(12*años+gracia-B273&gt;0,$L$2&lt;&gt;1),G274-H274,0)</f>
        <v>12.82334706951351</v>
      </c>
      <c r="J274" s="62"/>
      <c r="K274" s="61">
        <f t="shared" si="43"/>
        <v>1925.4410957566772</v>
      </c>
      <c r="L274" s="61">
        <f>L273*(1+$J$17)^(1/12)</f>
        <v>8087.5591581753533</v>
      </c>
      <c r="M274" s="31">
        <f t="shared" si="44"/>
        <v>12</v>
      </c>
      <c r="N274" s="31">
        <f t="shared" si="45"/>
        <v>0</v>
      </c>
      <c r="O274" s="31">
        <f t="shared" si="46"/>
        <v>-2.25</v>
      </c>
      <c r="P274" s="62"/>
      <c r="Q274" s="31">
        <f t="shared" si="39"/>
        <v>-9.4187204844152248</v>
      </c>
      <c r="R274" s="31">
        <f>SUM($Q$36:Q274)</f>
        <v>-2837.0554752908151</v>
      </c>
      <c r="S274" s="83">
        <f>IF($L$2&lt;&gt;1,-(R274-$R$36)/B274*12/$Q$36,0)</f>
        <v>-0.18982977126802533</v>
      </c>
      <c r="T274" s="31">
        <f>SUMPRODUCT($Q$36:Q274,$E$36:E274)/E274-R274</f>
        <v>-2418.6919730485483</v>
      </c>
      <c r="U274" s="31">
        <f t="shared" si="40"/>
        <v>3325.0625871278608</v>
      </c>
      <c r="V274" s="31">
        <f t="shared" si="41"/>
        <v>3920.4625871278608</v>
      </c>
      <c r="W274" s="80" cm="1">
        <f t="array" ref="W274">IF($L$2&lt;&gt;1,IRR(IF(ROW($Q$36:Q274)=ROW(Q274),Q274+L274-K274,$Q$36:Q274),W273/12)*12,0)</f>
        <v>5.9102387987099547E-2</v>
      </c>
      <c r="X274" s="83">
        <f>(1+W274/12)^(B274)-1</f>
        <v>2.2198029191793354</v>
      </c>
    </row>
    <row r="275" spans="2:24" x14ac:dyDescent="0.25">
      <c r="B275" s="33">
        <v>239</v>
      </c>
      <c r="C275" s="81">
        <f t="shared" si="37"/>
        <v>19.916666666666668</v>
      </c>
      <c r="D275" s="105">
        <f t="shared" si="38"/>
        <v>3.9789301544717048E-3</v>
      </c>
      <c r="E275" s="106">
        <f t="shared" si="42"/>
        <v>0.38709799527917321</v>
      </c>
      <c r="F275" s="60">
        <f>rate</f>
        <v>3.2737397821989145E-3</v>
      </c>
      <c r="G275" s="31">
        <f>IF(AND(B274&gt;=gracia,12*años+gracia-B274&gt;0,$L$2&lt;&gt;1),PMT(F274,12*años-B274+gracia,-K274),0)</f>
        <v>19.168720484415225</v>
      </c>
      <c r="H275" s="31">
        <f>IF(AND(12*años+gracia-B274&gt;0,$L$2&lt;&gt;1),K274*F275,0)</f>
        <v>6.303393113459304</v>
      </c>
      <c r="I275" s="31">
        <f>IF(AND(12*años+gracia-B274&gt;0,$L$2&lt;&gt;1),G275-H275,0)</f>
        <v>12.865327370955921</v>
      </c>
      <c r="J275" s="62"/>
      <c r="K275" s="61">
        <f t="shared" si="43"/>
        <v>1912.5757683857214</v>
      </c>
      <c r="L275" s="61">
        <f>L274*(1+$J$17)^(1/12)</f>
        <v>8107.5052608588794</v>
      </c>
      <c r="M275" s="31">
        <f t="shared" si="44"/>
        <v>12</v>
      </c>
      <c r="N275" s="31">
        <f t="shared" si="45"/>
        <v>0</v>
      </c>
      <c r="O275" s="31">
        <f t="shared" si="46"/>
        <v>-2.25</v>
      </c>
      <c r="P275" s="62"/>
      <c r="Q275" s="31">
        <f t="shared" si="39"/>
        <v>-9.4187204844152248</v>
      </c>
      <c r="R275" s="31">
        <f>SUM($Q$36:Q275)</f>
        <v>-2846.4741957752303</v>
      </c>
      <c r="S275" s="83">
        <f>IF($L$2&lt;&gt;1,-(R275-$R$36)/B275*12/$Q$36,0)</f>
        <v>-0.18982977126802533</v>
      </c>
      <c r="T275" s="31">
        <f>SUMPRODUCT($Q$36:Q275,$E$36:E275)/E275-R275</f>
        <v>-2439.6042250550345</v>
      </c>
      <c r="U275" s="31">
        <f t="shared" si="40"/>
        <v>3348.4552966979281</v>
      </c>
      <c r="V275" s="31">
        <f t="shared" si="41"/>
        <v>3943.8552966979282</v>
      </c>
      <c r="W275" s="80" cm="1">
        <f t="array" ref="W275">IF($L$2&lt;&gt;1,IRR(IF(ROW($Q$36:Q275)=ROW(Q275),Q275+L275-K275,$Q$36:Q275),W274/12)*12,0)</f>
        <v>5.9023707501274281E-2</v>
      </c>
      <c r="X275" s="83">
        <f>(1+W275/12)^(B275)-1</f>
        <v>2.2306194029480362</v>
      </c>
    </row>
    <row r="276" spans="2:24" x14ac:dyDescent="0.25">
      <c r="B276" s="33">
        <v>240</v>
      </c>
      <c r="C276" s="81">
        <f t="shared" si="37"/>
        <v>20</v>
      </c>
      <c r="D276" s="105">
        <f t="shared" si="38"/>
        <v>3.9789301544717048E-3</v>
      </c>
      <c r="E276" s="106">
        <f t="shared" si="42"/>
        <v>0.38556386359583711</v>
      </c>
      <c r="F276" s="60">
        <f>rate</f>
        <v>3.2737397821989145E-3</v>
      </c>
      <c r="G276" s="31">
        <f>IF(AND(B275&gt;=gracia,12*años+gracia-B275&gt;0,$L$2&lt;&gt;1),PMT(F275,12*años-B275+gracia,-K275),0)</f>
        <v>19.168720484415225</v>
      </c>
      <c r="H276" s="31">
        <f>IF(AND(12*años+gracia-B275&gt;0,$L$2&lt;&gt;1),K275*F276,0)</f>
        <v>6.261275379433993</v>
      </c>
      <c r="I276" s="31">
        <f>IF(AND(12*años+gracia-B275&gt;0,$L$2&lt;&gt;1),G276-H276,0)</f>
        <v>12.907445104981232</v>
      </c>
      <c r="J276" s="62"/>
      <c r="K276" s="61">
        <f t="shared" si="43"/>
        <v>1899.6683232807402</v>
      </c>
      <c r="L276" s="61">
        <f>L275*(1+$J$17)^(1/12)</f>
        <v>8127.5005560125292</v>
      </c>
      <c r="M276" s="31">
        <f t="shared" si="44"/>
        <v>12</v>
      </c>
      <c r="N276" s="31">
        <f t="shared" si="45"/>
        <v>0</v>
      </c>
      <c r="O276" s="31">
        <f t="shared" si="46"/>
        <v>-2.25</v>
      </c>
      <c r="P276" s="62"/>
      <c r="Q276" s="31">
        <f t="shared" si="39"/>
        <v>-9.4187204844152248</v>
      </c>
      <c r="R276" s="31">
        <f>SUM($Q$36:Q276)</f>
        <v>-2855.8929162596455</v>
      </c>
      <c r="S276" s="83">
        <f>IF($L$2&lt;&gt;1,-(R276-$R$36)/B276*12/$Q$36,0)</f>
        <v>-0.18982977126802533</v>
      </c>
      <c r="T276" s="31">
        <f>SUMPRODUCT($Q$36:Q276,$E$36:E276)/E276-R276</f>
        <v>-2460.6371618825783</v>
      </c>
      <c r="U276" s="31">
        <f t="shared" si="40"/>
        <v>3371.9393164721432</v>
      </c>
      <c r="V276" s="31">
        <f t="shared" si="41"/>
        <v>3967.3393164721433</v>
      </c>
      <c r="W276" s="80" cm="1">
        <f t="array" ref="W276">IF($L$2&lt;&gt;1,IRR(IF(ROW($Q$36:Q276)=ROW(Q276),Q276+L276-K276,$Q$36:Q276),W275/12)*12,0)</f>
        <v>5.8945430319540471E-2</v>
      </c>
      <c r="X276" s="83">
        <f>(1+W276/12)^(B276)-1</f>
        <v>2.2414559097233506</v>
      </c>
    </row>
    <row r="277" spans="2:24" x14ac:dyDescent="0.25">
      <c r="B277" s="33">
        <v>241</v>
      </c>
      <c r="C277" s="81">
        <f t="shared" si="37"/>
        <v>20.083333333333332</v>
      </c>
      <c r="D277" s="105">
        <f t="shared" si="38"/>
        <v>3.9789301544717048E-3</v>
      </c>
      <c r="E277" s="106">
        <f t="shared" si="42"/>
        <v>0.38403581192337816</v>
      </c>
      <c r="F277" s="60">
        <f>rate</f>
        <v>3.2737397821989145E-3</v>
      </c>
      <c r="G277" s="31">
        <f>IF(AND(B276&gt;=gracia,12*años+gracia-B276&gt;0,$L$2&lt;&gt;1),PMT(F276,12*años-B276+gracia,-K276),0)</f>
        <v>19.168720484415225</v>
      </c>
      <c r="H277" s="31">
        <f>IF(AND(12*años+gracia-B276&gt;0,$L$2&lt;&gt;1),K276*F277,0)</f>
        <v>6.2190197629072674</v>
      </c>
      <c r="I277" s="31">
        <f>IF(AND(12*años+gracia-B276&gt;0,$L$2&lt;&gt;1),G277-H277,0)</f>
        <v>12.949700721507957</v>
      </c>
      <c r="J277" s="62"/>
      <c r="K277" s="61">
        <f t="shared" si="43"/>
        <v>1886.7186225592322</v>
      </c>
      <c r="L277" s="61">
        <f>L276*(1+$J$17)^(1/12)</f>
        <v>8147.5451649582046</v>
      </c>
      <c r="M277" s="31">
        <f t="shared" si="44"/>
        <v>12</v>
      </c>
      <c r="N277" s="31">
        <f t="shared" si="45"/>
        <v>0</v>
      </c>
      <c r="O277" s="31">
        <f t="shared" si="46"/>
        <v>-2.25</v>
      </c>
      <c r="P277" s="62"/>
      <c r="Q277" s="31">
        <f t="shared" si="39"/>
        <v>-9.4187204844152248</v>
      </c>
      <c r="R277" s="31">
        <f>SUM($Q$36:Q277)</f>
        <v>-2865.3116367440607</v>
      </c>
      <c r="S277" s="83">
        <f>IF($L$2&lt;&gt;1,-(R277-$R$36)/B277*12/$Q$36,0)</f>
        <v>-0.18982977126802533</v>
      </c>
      <c r="T277" s="31">
        <f>SUMPRODUCT($Q$36:Q277,$E$36:E277)/E277-R277</f>
        <v>-2481.791263727654</v>
      </c>
      <c r="U277" s="31">
        <f t="shared" si="40"/>
        <v>3395.5149056549117</v>
      </c>
      <c r="V277" s="31">
        <f t="shared" si="41"/>
        <v>3990.9149056549118</v>
      </c>
      <c r="W277" s="80" cm="1">
        <f t="array" ref="W277">IF($L$2&lt;&gt;1,IRR(IF(ROW($Q$36:Q277)=ROW(Q277),Q277+L277-K277,$Q$36:Q277),W276/12)*12,0)</f>
        <v>5.886755389841003E-2</v>
      </c>
      <c r="X277" s="83">
        <f>(1+W277/12)^(B277)-1</f>
        <v>2.2523125584979384</v>
      </c>
    </row>
    <row r="278" spans="2:24" x14ac:dyDescent="0.25">
      <c r="B278" s="33">
        <v>242</v>
      </c>
      <c r="C278" s="81">
        <f t="shared" si="37"/>
        <v>20.166666666666668</v>
      </c>
      <c r="D278" s="105">
        <f t="shared" si="38"/>
        <v>3.9789301544717048E-3</v>
      </c>
      <c r="E278" s="106">
        <f t="shared" si="42"/>
        <v>0.38251381616573427</v>
      </c>
      <c r="F278" s="60">
        <f>rate</f>
        <v>3.2737397821989145E-3</v>
      </c>
      <c r="G278" s="31">
        <f>IF(AND(B277&gt;=gracia,12*años+gracia-B277&gt;0,$L$2&lt;&gt;1),PMT(F277,12*años-B277+gracia,-K277),0)</f>
        <v>19.168720484415228</v>
      </c>
      <c r="H278" s="31">
        <f>IF(AND(12*años+gracia-B277&gt;0,$L$2&lt;&gt;1),K277*F278,0)</f>
        <v>6.1766258124876972</v>
      </c>
      <c r="I278" s="31">
        <f>IF(AND(12*años+gracia-B277&gt;0,$L$2&lt;&gt;1),G278-H278,0)</f>
        <v>12.992094671927532</v>
      </c>
      <c r="J278" s="62"/>
      <c r="K278" s="61">
        <f t="shared" si="43"/>
        <v>1873.7265278873047</v>
      </c>
      <c r="L278" s="61">
        <f>L277*(1+$J$17)^(1/12)</f>
        <v>8167.6392093170198</v>
      </c>
      <c r="M278" s="31">
        <f t="shared" si="44"/>
        <v>12</v>
      </c>
      <c r="N278" s="31">
        <f t="shared" si="45"/>
        <v>0</v>
      </c>
      <c r="O278" s="31">
        <f t="shared" si="46"/>
        <v>-2.25</v>
      </c>
      <c r="P278" s="62"/>
      <c r="Q278" s="31">
        <f t="shared" si="39"/>
        <v>-9.4187204844152284</v>
      </c>
      <c r="R278" s="31">
        <f>SUM($Q$36:Q278)</f>
        <v>-2874.7303572284759</v>
      </c>
      <c r="S278" s="83">
        <f>IF($L$2&lt;&gt;1,-(R278-$R$36)/B278*12/$Q$36,0)</f>
        <v>-0.18982977126802533</v>
      </c>
      <c r="T278" s="31">
        <f>SUMPRODUCT($Q$36:Q278,$E$36:E278)/E278-R278</f>
        <v>-2503.0670126974032</v>
      </c>
      <c r="U278" s="31">
        <f t="shared" si="40"/>
        <v>3419.1823242012397</v>
      </c>
      <c r="V278" s="31">
        <f t="shared" si="41"/>
        <v>4014.5823242012398</v>
      </c>
      <c r="W278" s="80" cm="1">
        <f t="array" ref="W278">IF($L$2&lt;&gt;1,IRR(IF(ROW($Q$36:Q278)=ROW(Q278),Q278+L278-K278,$Q$36:Q278),W277/12)*12,0)</f>
        <v>5.8790075705817735E-2</v>
      </c>
      <c r="X278" s="83">
        <f>(1+W278/12)^(B278)-1</f>
        <v>2.2631894679726678</v>
      </c>
    </row>
    <row r="279" spans="2:24" x14ac:dyDescent="0.25">
      <c r="B279" s="33">
        <v>243</v>
      </c>
      <c r="C279" s="81">
        <f t="shared" si="37"/>
        <v>20.25</v>
      </c>
      <c r="D279" s="105">
        <f t="shared" si="38"/>
        <v>3.9789301544717048E-3</v>
      </c>
      <c r="E279" s="106">
        <f t="shared" si="42"/>
        <v>0.38099785232233996</v>
      </c>
      <c r="F279" s="60">
        <f>rate</f>
        <v>3.2737397821989145E-3</v>
      </c>
      <c r="G279" s="31">
        <f>IF(AND(B278&gt;=gracia,12*años+gracia-B278&gt;0,$L$2&lt;&gt;1),PMT(F278,12*años-B278+gracia,-K278),0)</f>
        <v>19.168720484415225</v>
      </c>
      <c r="H279" s="31">
        <f>IF(AND(12*años+gracia-B278&gt;0,$L$2&lt;&gt;1),K278*F279,0)</f>
        <v>6.1340930753061134</v>
      </c>
      <c r="I279" s="31">
        <f>IF(AND(12*años+gracia-B278&gt;0,$L$2&lt;&gt;1),G279-H279,0)</f>
        <v>13.034627409109111</v>
      </c>
      <c r="J279" s="62"/>
      <c r="K279" s="61">
        <f t="shared" si="43"/>
        <v>1860.6919004781955</v>
      </c>
      <c r="L279" s="61">
        <f>L278*(1+$J$17)^(1/12)</f>
        <v>8187.7828110100409</v>
      </c>
      <c r="M279" s="31">
        <f t="shared" si="44"/>
        <v>12</v>
      </c>
      <c r="N279" s="31">
        <f t="shared" si="45"/>
        <v>0</v>
      </c>
      <c r="O279" s="31">
        <f t="shared" si="46"/>
        <v>-2.25</v>
      </c>
      <c r="P279" s="62"/>
      <c r="Q279" s="31">
        <f t="shared" si="39"/>
        <v>-9.4187204844152248</v>
      </c>
      <c r="R279" s="31">
        <f>SUM($Q$36:Q279)</f>
        <v>-2884.1490777128911</v>
      </c>
      <c r="S279" s="83">
        <f>IF($L$2&lt;&gt;1,-(R279-$R$36)/B279*12/$Q$36,0)</f>
        <v>-0.18982977126802533</v>
      </c>
      <c r="T279" s="31">
        <f>SUMPRODUCT($Q$36:Q279,$E$36:E279)/E279-R279</f>
        <v>-2524.4648928172392</v>
      </c>
      <c r="U279" s="31">
        <f t="shared" si="40"/>
        <v>3442.941832818954</v>
      </c>
      <c r="V279" s="31">
        <f t="shared" si="41"/>
        <v>4038.3418328189541</v>
      </c>
      <c r="W279" s="80" cm="1">
        <f t="array" ref="W279">IF($L$2&lt;&gt;1,IRR(IF(ROW($Q$36:Q279)=ROW(Q279),Q279+L279-K279,$Q$36:Q279),W278/12)*12,0)</f>
        <v>5.8712993221377019E-2</v>
      </c>
      <c r="X279" s="83">
        <f>(1+W279/12)^(B279)-1</f>
        <v>2.2740867565648255</v>
      </c>
    </row>
    <row r="280" spans="2:24" x14ac:dyDescent="0.25">
      <c r="B280" s="33">
        <v>244</v>
      </c>
      <c r="C280" s="81">
        <f t="shared" si="37"/>
        <v>20.333333333333332</v>
      </c>
      <c r="D280" s="105">
        <f t="shared" si="38"/>
        <v>3.9789301544717048E-3</v>
      </c>
      <c r="E280" s="106">
        <f t="shared" si="42"/>
        <v>0.37948789648774783</v>
      </c>
      <c r="F280" s="60">
        <f>rate</f>
        <v>3.2737397821989145E-3</v>
      </c>
      <c r="G280" s="31">
        <f>IF(AND(B279&gt;=gracia,12*años+gracia-B279&gt;0,$L$2&lt;&gt;1),PMT(F279,12*años-B279+gracia,-K279),0)</f>
        <v>19.168720484415225</v>
      </c>
      <c r="H280" s="31">
        <f>IF(AND(12*años+gracia-B279&gt;0,$L$2&lt;&gt;1),K279*F280,0)</f>
        <v>6.0914210970107723</v>
      </c>
      <c r="I280" s="31">
        <f>IF(AND(12*años+gracia-B279&gt;0,$L$2&lt;&gt;1),G280-H280,0)</f>
        <v>13.077299387404452</v>
      </c>
      <c r="J280" s="62"/>
      <c r="K280" s="61">
        <f t="shared" si="43"/>
        <v>1847.614601090791</v>
      </c>
      <c r="L280" s="61">
        <f>L279*(1+$J$17)^(1/12)</f>
        <v>8207.9760922590231</v>
      </c>
      <c r="M280" s="31">
        <f t="shared" si="44"/>
        <v>12</v>
      </c>
      <c r="N280" s="31">
        <f t="shared" si="45"/>
        <v>0</v>
      </c>
      <c r="O280" s="31">
        <f t="shared" si="46"/>
        <v>-2.25</v>
      </c>
      <c r="P280" s="62"/>
      <c r="Q280" s="31">
        <f t="shared" si="39"/>
        <v>-9.4187204844152248</v>
      </c>
      <c r="R280" s="31">
        <f>SUM($Q$36:Q280)</f>
        <v>-2893.5677981973063</v>
      </c>
      <c r="S280" s="83">
        <f>IF($L$2&lt;&gt;1,-(R280-$R$36)/B280*12/$Q$36,0)</f>
        <v>-0.18982977126802533</v>
      </c>
      <c r="T280" s="31">
        <f>SUMPRODUCT($Q$36:Q280,$E$36:E280)/E280-R280</f>
        <v>-2545.9853900384792</v>
      </c>
      <c r="U280" s="31">
        <f t="shared" si="40"/>
        <v>3466.7936929709258</v>
      </c>
      <c r="V280" s="31">
        <f t="shared" si="41"/>
        <v>4062.1936929709259</v>
      </c>
      <c r="W280" s="80" cm="1">
        <f t="array" ref="W280">IF($L$2&lt;&gt;1,IRR(IF(ROW($Q$36:Q280)=ROW(Q280),Q280+L280-K280,$Q$36:Q280),W279/12)*12,0)</f>
        <v>5.8636303936609124E-2</v>
      </c>
      <c r="X280" s="83">
        <f>(1+W280/12)^(B280)-1</f>
        <v>2.285004542415054</v>
      </c>
    </row>
    <row r="281" spans="2:24" x14ac:dyDescent="0.25">
      <c r="B281" s="33">
        <v>245</v>
      </c>
      <c r="C281" s="81">
        <f t="shared" si="37"/>
        <v>20.416666666666668</v>
      </c>
      <c r="D281" s="105">
        <f t="shared" si="38"/>
        <v>3.9789301544717048E-3</v>
      </c>
      <c r="E281" s="106">
        <f t="shared" si="42"/>
        <v>0.3779839248512516</v>
      </c>
      <c r="F281" s="60">
        <f>rate</f>
        <v>3.2737397821989145E-3</v>
      </c>
      <c r="G281" s="31">
        <f>IF(AND(B280&gt;=gracia,12*años+gracia-B280&gt;0,$L$2&lt;&gt;1),PMT(F280,12*años-B280+gracia,-K280),0)</f>
        <v>19.168720484415225</v>
      </c>
      <c r="H281" s="31">
        <f>IF(AND(12*años+gracia-B280&gt;0,$L$2&lt;&gt;1),K280*F281,0)</f>
        <v>6.0486094217625004</v>
      </c>
      <c r="I281" s="31">
        <f>IF(AND(12*años+gracia-B280&gt;0,$L$2&lt;&gt;1),G281-H281,0)</f>
        <v>13.120111062652725</v>
      </c>
      <c r="J281" s="62"/>
      <c r="K281" s="61">
        <f t="shared" si="43"/>
        <v>1834.4944900281382</v>
      </c>
      <c r="L281" s="61">
        <f>L280*(1+$J$17)^(1/12)</f>
        <v>8228.2191755871536</v>
      </c>
      <c r="M281" s="31">
        <f t="shared" si="44"/>
        <v>12</v>
      </c>
      <c r="N281" s="31">
        <f t="shared" si="45"/>
        <v>0</v>
      </c>
      <c r="O281" s="31">
        <f t="shared" si="46"/>
        <v>-2.25</v>
      </c>
      <c r="P281" s="62"/>
      <c r="Q281" s="31">
        <f t="shared" si="39"/>
        <v>-9.4187204844152248</v>
      </c>
      <c r="R281" s="31">
        <f>SUM($Q$36:Q281)</f>
        <v>-2902.9865186817215</v>
      </c>
      <c r="S281" s="83">
        <f>IF($L$2&lt;&gt;1,-(R281-$R$36)/B281*12/$Q$36,0)</f>
        <v>-0.18982977126802533</v>
      </c>
      <c r="T281" s="31">
        <f>SUMPRODUCT($Q$36:Q281,$E$36:E281)/E281-R281</f>
        <v>-2567.6289922460037</v>
      </c>
      <c r="U281" s="31">
        <f t="shared" si="40"/>
        <v>3490.7381668772941</v>
      </c>
      <c r="V281" s="31">
        <f t="shared" si="41"/>
        <v>4086.1381668772942</v>
      </c>
      <c r="W281" s="80" cm="1">
        <f t="array" ref="W281">IF($L$2&lt;&gt;1,IRR(IF(ROW($Q$36:Q281)=ROW(Q281),Q281+L281-K281,$Q$36:Q281),W280/12)*12,0)</f>
        <v>5.8560005355126954E-2</v>
      </c>
      <c r="X281" s="83">
        <f>(1+W281/12)^(B281)-1</f>
        <v>2.2959429433932557</v>
      </c>
    </row>
    <row r="282" spans="2:24" x14ac:dyDescent="0.25">
      <c r="B282" s="33">
        <v>246</v>
      </c>
      <c r="C282" s="81">
        <f t="shared" si="37"/>
        <v>20.5</v>
      </c>
      <c r="D282" s="105">
        <f t="shared" si="38"/>
        <v>3.9789301544717048E-3</v>
      </c>
      <c r="E282" s="106">
        <f t="shared" si="42"/>
        <v>0.37648591369651074</v>
      </c>
      <c r="F282" s="60">
        <f>rate</f>
        <v>3.2737397821989145E-3</v>
      </c>
      <c r="G282" s="31">
        <f>IF(AND(B281&gt;=gracia,12*años+gracia-B281&gt;0,$L$2&lt;&gt;1),PMT(F281,12*años-B281+gracia,-K281),0)</f>
        <v>19.168720484415225</v>
      </c>
      <c r="H282" s="31">
        <f>IF(AND(12*años+gracia-B281&gt;0,$L$2&lt;&gt;1),K281*F282,0)</f>
        <v>6.0056575922298263</v>
      </c>
      <c r="I282" s="31">
        <f>IF(AND(12*años+gracia-B281&gt;0,$L$2&lt;&gt;1),G282-H282,0)</f>
        <v>13.163062892185398</v>
      </c>
      <c r="J282" s="62"/>
      <c r="K282" s="61">
        <f t="shared" si="43"/>
        <v>1821.3314271359527</v>
      </c>
      <c r="L282" s="61">
        <f>L281*(1+$J$17)^(1/12)</f>
        <v>8248.5121838197938</v>
      </c>
      <c r="M282" s="31">
        <f t="shared" si="44"/>
        <v>12</v>
      </c>
      <c r="N282" s="31">
        <f t="shared" si="45"/>
        <v>0</v>
      </c>
      <c r="O282" s="31">
        <f t="shared" si="46"/>
        <v>-2.25</v>
      </c>
      <c r="P282" s="62"/>
      <c r="Q282" s="31">
        <f t="shared" si="39"/>
        <v>-9.4187204844152248</v>
      </c>
      <c r="R282" s="31">
        <f>SUM($Q$36:Q282)</f>
        <v>-2912.4052391661367</v>
      </c>
      <c r="S282" s="83">
        <f>IF($L$2&lt;&gt;1,-(R282-$R$36)/B282*12/$Q$36,0)</f>
        <v>-0.18982977126802533</v>
      </c>
      <c r="T282" s="31">
        <f>SUMPRODUCT($Q$36:Q282,$E$36:E282)/E282-R282</f>
        <v>-2589.396189265954</v>
      </c>
      <c r="U282" s="31">
        <f t="shared" si="40"/>
        <v>3514.7755175177044</v>
      </c>
      <c r="V282" s="31">
        <f t="shared" si="41"/>
        <v>4110.1755175177041</v>
      </c>
      <c r="W282" s="80" cm="1">
        <f t="array" ref="W282">IF($L$2&lt;&gt;1,IRR(IF(ROW($Q$36:Q282)=ROW(Q282),Q282+L282-K282,$Q$36:Q282),W281/12)*12,0)</f>
        <v>5.8484094992880209E-2</v>
      </c>
      <c r="X282" s="83">
        <f>(1+W282/12)^(B282)-1</f>
        <v>2.30690207710825</v>
      </c>
    </row>
    <row r="283" spans="2:24" x14ac:dyDescent="0.25">
      <c r="B283" s="33">
        <v>247</v>
      </c>
      <c r="C283" s="81">
        <f t="shared" si="37"/>
        <v>20.583333333333332</v>
      </c>
      <c r="D283" s="105">
        <f t="shared" si="38"/>
        <v>3.9789301544717048E-3</v>
      </c>
      <c r="E283" s="106">
        <f t="shared" si="42"/>
        <v>0.37499383940117631</v>
      </c>
      <c r="F283" s="60">
        <f>rate</f>
        <v>3.2737397821989145E-3</v>
      </c>
      <c r="G283" s="31">
        <f>IF(AND(B282&gt;=gracia,12*años+gracia-B282&gt;0,$L$2&lt;&gt;1),PMT(F282,12*años-B282+gracia,-K282),0)</f>
        <v>19.168720484415225</v>
      </c>
      <c r="H283" s="31">
        <f>IF(AND(12*años+gracia-B282&gt;0,$L$2&lt;&gt;1),K282*F283,0)</f>
        <v>5.9625651495840923</v>
      </c>
      <c r="I283" s="31">
        <f>IF(AND(12*años+gracia-B282&gt;0,$L$2&lt;&gt;1),G283-H283,0)</f>
        <v>13.206155334831132</v>
      </c>
      <c r="J283" s="62"/>
      <c r="K283" s="61">
        <f t="shared" si="43"/>
        <v>1808.1252718011215</v>
      </c>
      <c r="L283" s="61">
        <f>L282*(1+$J$17)^(1/12)</f>
        <v>8268.8552400852277</v>
      </c>
      <c r="M283" s="31">
        <f t="shared" si="44"/>
        <v>12</v>
      </c>
      <c r="N283" s="31">
        <f t="shared" si="45"/>
        <v>0</v>
      </c>
      <c r="O283" s="31">
        <f t="shared" si="46"/>
        <v>-2.25</v>
      </c>
      <c r="P283" s="62"/>
      <c r="Q283" s="31">
        <f t="shared" si="39"/>
        <v>-9.4187204844152248</v>
      </c>
      <c r="R283" s="31">
        <f>SUM($Q$36:Q283)</f>
        <v>-2921.8239596505518</v>
      </c>
      <c r="S283" s="83">
        <f>IF($L$2&lt;&gt;1,-(R283-$R$36)/B283*12/$Q$36,0)</f>
        <v>-0.18982977126802533</v>
      </c>
      <c r="T283" s="31">
        <f>SUMPRODUCT($Q$36:Q283,$E$36:E283)/E283-R283</f>
        <v>-2611.2874728734569</v>
      </c>
      <c r="U283" s="31">
        <f t="shared" si="40"/>
        <v>3538.9060086335539</v>
      </c>
      <c r="V283" s="31">
        <f t="shared" si="41"/>
        <v>4134.3060086335536</v>
      </c>
      <c r="W283" s="80" cm="1">
        <f t="array" ref="W283">IF($L$2&lt;&gt;1,IRR(IF(ROW($Q$36:Q283)=ROW(Q283),Q283+L283-K283,$Q$36:Q283),W282/12)*12,0)</f>
        <v>5.8408570378304603E-2</v>
      </c>
      <c r="X283" s="83">
        <f>(1+W283/12)^(B283)-1</f>
        <v>2.3178820609120425</v>
      </c>
    </row>
    <row r="284" spans="2:24" x14ac:dyDescent="0.25">
      <c r="B284" s="33">
        <v>248</v>
      </c>
      <c r="C284" s="81">
        <f t="shared" si="37"/>
        <v>20.666666666666668</v>
      </c>
      <c r="D284" s="105">
        <f t="shared" si="38"/>
        <v>3.9789301544717048E-3</v>
      </c>
      <c r="E284" s="106">
        <f t="shared" si="42"/>
        <v>0.3735076784365185</v>
      </c>
      <c r="F284" s="60">
        <f>rate</f>
        <v>3.2737397821989145E-3</v>
      </c>
      <c r="G284" s="31">
        <f>IF(AND(B283&gt;=gracia,12*años+gracia-B283&gt;0,$L$2&lt;&gt;1),PMT(F283,12*años-B283+gracia,-K283),0)</f>
        <v>19.168720484415225</v>
      </c>
      <c r="H284" s="31">
        <f>IF(AND(12*años+gracia-B283&gt;0,$L$2&lt;&gt;1),K283*F284,0)</f>
        <v>5.919331633494556</v>
      </c>
      <c r="I284" s="31">
        <f>IF(AND(12*años+gracia-B283&gt;0,$L$2&lt;&gt;1),G284-H284,0)</f>
        <v>13.249388850920669</v>
      </c>
      <c r="J284" s="62"/>
      <c r="K284" s="61">
        <f t="shared" si="43"/>
        <v>1794.8758829502008</v>
      </c>
      <c r="L284" s="61">
        <f>L283*(1+$J$17)^(1/12)</f>
        <v>8289.2484678154051</v>
      </c>
      <c r="M284" s="31">
        <f t="shared" si="44"/>
        <v>12</v>
      </c>
      <c r="N284" s="31">
        <f t="shared" si="45"/>
        <v>0</v>
      </c>
      <c r="O284" s="31">
        <f t="shared" si="46"/>
        <v>-2.25</v>
      </c>
      <c r="P284" s="62"/>
      <c r="Q284" s="31">
        <f t="shared" si="39"/>
        <v>-9.4187204844152248</v>
      </c>
      <c r="R284" s="31">
        <f>SUM($Q$36:Q284)</f>
        <v>-2931.242680134967</v>
      </c>
      <c r="S284" s="83">
        <f>IF($L$2&lt;&gt;1,-(R284-$R$36)/B284*12/$Q$36,0)</f>
        <v>-0.18982977126802533</v>
      </c>
      <c r="T284" s="31">
        <f>SUMPRODUCT($Q$36:Q284,$E$36:E284)/E284-R284</f>
        <v>-2633.3033368003803</v>
      </c>
      <c r="U284" s="31">
        <f t="shared" si="40"/>
        <v>3563.1299047302373</v>
      </c>
      <c r="V284" s="31">
        <f t="shared" si="41"/>
        <v>4158.5299047302369</v>
      </c>
      <c r="W284" s="80" cm="1">
        <f t="array" ref="W284">IF($L$2&lt;&gt;1,IRR(IF(ROW($Q$36:Q284)=ROW(Q284),Q284+L284-K284,$Q$36:Q284),W283/12)*12,0)</f>
        <v>5.8333429052513708E-2</v>
      </c>
      <c r="X284" s="83">
        <f>(1+W284/12)^(B284)-1</f>
        <v>2.3288830119084256</v>
      </c>
    </row>
    <row r="285" spans="2:24" x14ac:dyDescent="0.25">
      <c r="B285" s="33">
        <v>249</v>
      </c>
      <c r="C285" s="81">
        <f t="shared" si="37"/>
        <v>20.75</v>
      </c>
      <c r="D285" s="105">
        <f t="shared" si="38"/>
        <v>3.9789301544717048E-3</v>
      </c>
      <c r="E285" s="106">
        <f t="shared" si="42"/>
        <v>0.37202740736705581</v>
      </c>
      <c r="F285" s="60">
        <f>rate</f>
        <v>3.2737397821989145E-3</v>
      </c>
      <c r="G285" s="31">
        <f>IF(AND(B284&gt;=gracia,12*años+gracia-B284&gt;0,$L$2&lt;&gt;1),PMT(F284,12*años-B284+gracia,-K284),0)</f>
        <v>19.168720484415221</v>
      </c>
      <c r="H285" s="31">
        <f>IF(AND(12*años+gracia-B284&gt;0,$L$2&lt;&gt;1),K284*F285,0)</f>
        <v>5.8759565821234743</v>
      </c>
      <c r="I285" s="31">
        <f>IF(AND(12*años+gracia-B284&gt;0,$L$2&lt;&gt;1),G285-H285,0)</f>
        <v>13.292763902291746</v>
      </c>
      <c r="J285" s="62"/>
      <c r="K285" s="61">
        <f t="shared" si="43"/>
        <v>1781.5831190479091</v>
      </c>
      <c r="L285" s="61">
        <f>L284*(1+$J$17)^(1/12)</f>
        <v>8309.6919907466927</v>
      </c>
      <c r="M285" s="31">
        <f t="shared" si="44"/>
        <v>12</v>
      </c>
      <c r="N285" s="31">
        <f t="shared" si="45"/>
        <v>0</v>
      </c>
      <c r="O285" s="31">
        <f t="shared" si="46"/>
        <v>-2.25</v>
      </c>
      <c r="P285" s="62"/>
      <c r="Q285" s="31">
        <f t="shared" si="39"/>
        <v>-9.4187204844152213</v>
      </c>
      <c r="R285" s="31">
        <f>SUM($Q$36:Q285)</f>
        <v>-2940.6614006193822</v>
      </c>
      <c r="S285" s="83">
        <f>IF($L$2&lt;&gt;1,-(R285-$R$36)/B285*12/$Q$36,0)</f>
        <v>-0.18982977126802533</v>
      </c>
      <c r="T285" s="31">
        <f>SUMPRODUCT($Q$36:Q285,$E$36:E285)/E285-R285</f>
        <v>-2655.4442767431092</v>
      </c>
      <c r="U285" s="31">
        <f t="shared" si="40"/>
        <v>3587.4474710794011</v>
      </c>
      <c r="V285" s="31">
        <f t="shared" si="41"/>
        <v>4182.8474710794007</v>
      </c>
      <c r="W285" s="80" cm="1">
        <f t="array" ref="W285">IF($L$2&lt;&gt;1,IRR(IF(ROW($Q$36:Q285)=ROW(Q285),Q285+L285-K285,$Q$36:Q285),W284/12)*12,0)</f>
        <v>5.8258668569445504E-2</v>
      </c>
      <c r="X285" s="83">
        <f>(1+W285/12)^(B285)-1</f>
        <v>2.339905046958362</v>
      </c>
    </row>
    <row r="286" spans="2:24" x14ac:dyDescent="0.25">
      <c r="B286" s="33">
        <v>250</v>
      </c>
      <c r="C286" s="81">
        <f t="shared" si="37"/>
        <v>20.833333333333332</v>
      </c>
      <c r="D286" s="105">
        <f t="shared" si="38"/>
        <v>3.9789301544717048E-3</v>
      </c>
      <c r="E286" s="106">
        <f t="shared" si="42"/>
        <v>0.37055300285018516</v>
      </c>
      <c r="F286" s="60">
        <f>rate</f>
        <v>3.2737397821989145E-3</v>
      </c>
      <c r="G286" s="31">
        <f>IF(AND(B285&gt;=gracia,12*años+gracia-B285&gt;0,$L$2&lt;&gt;1),PMT(F285,12*años-B285+gracia,-K285),0)</f>
        <v>19.168720484415225</v>
      </c>
      <c r="H286" s="31">
        <f>IF(AND(12*años+gracia-B285&gt;0,$L$2&lt;&gt;1),K285*F286,0)</f>
        <v>5.8324395321211648</v>
      </c>
      <c r="I286" s="31">
        <f>IF(AND(12*años+gracia-B285&gt;0,$L$2&lt;&gt;1),G286-H286,0)</f>
        <v>13.336280952294061</v>
      </c>
      <c r="J286" s="62"/>
      <c r="K286" s="61">
        <f t="shared" si="43"/>
        <v>1768.246838095615</v>
      </c>
      <c r="L286" s="61">
        <f>L285*(1+$J$17)^(1/12)</f>
        <v>8330.1859329206254</v>
      </c>
      <c r="M286" s="31">
        <f t="shared" si="44"/>
        <v>12</v>
      </c>
      <c r="N286" s="31">
        <f t="shared" si="45"/>
        <v>0</v>
      </c>
      <c r="O286" s="31">
        <f t="shared" si="46"/>
        <v>-2.25</v>
      </c>
      <c r="P286" s="62"/>
      <c r="Q286" s="31">
        <f t="shared" si="39"/>
        <v>-9.4187204844152248</v>
      </c>
      <c r="R286" s="31">
        <f>SUM($Q$36:Q286)</f>
        <v>-2950.0801211037974</v>
      </c>
      <c r="S286" s="83">
        <f>IF($L$2&lt;&gt;1,-(R286-$R$36)/B286*12/$Q$36,0)</f>
        <v>-0.18982977126802533</v>
      </c>
      <c r="T286" s="31">
        <f>SUMPRODUCT($Q$36:Q286,$E$36:E286)/E286-R286</f>
        <v>-2677.7107903703768</v>
      </c>
      <c r="U286" s="31">
        <f t="shared" si="40"/>
        <v>3611.8589737212133</v>
      </c>
      <c r="V286" s="31">
        <f t="shared" si="41"/>
        <v>4207.2589737212129</v>
      </c>
      <c r="W286" s="80" cm="1">
        <f t="array" ref="W286">IF($L$2&lt;&gt;1,IRR(IF(ROW($Q$36:Q286)=ROW(Q286),Q286+L286-K286,$Q$36:Q286),W285/12)*12,0)</f>
        <v>5.8184286496030246E-2</v>
      </c>
      <c r="X286" s="83">
        <f>(1+W286/12)^(B286)-1</f>
        <v>2.3509482826875967</v>
      </c>
    </row>
    <row r="287" spans="2:24" x14ac:dyDescent="0.25">
      <c r="B287" s="33">
        <v>251</v>
      </c>
      <c r="C287" s="81">
        <f t="shared" si="37"/>
        <v>20.916666666666668</v>
      </c>
      <c r="D287" s="105">
        <f t="shared" si="38"/>
        <v>3.9789301544717048E-3</v>
      </c>
      <c r="E287" s="106">
        <f t="shared" si="42"/>
        <v>0.36908444163581405</v>
      </c>
      <c r="F287" s="60">
        <f>rate</f>
        <v>3.2737397821989145E-3</v>
      </c>
      <c r="G287" s="31">
        <f>IF(AND(B286&gt;=gracia,12*años+gracia-B286&gt;0,$L$2&lt;&gt;1),PMT(F286,12*años-B286+gracia,-K286),0)</f>
        <v>19.168720484415221</v>
      </c>
      <c r="H287" s="31">
        <f>IF(AND(12*años+gracia-B286&gt;0,$L$2&lt;&gt;1),K286*F287,0)</f>
        <v>5.7887800186210576</v>
      </c>
      <c r="I287" s="31">
        <f>IF(AND(12*años+gracia-B286&gt;0,$L$2&lt;&gt;1),G287-H287,0)</f>
        <v>13.379940465794164</v>
      </c>
      <c r="J287" s="62"/>
      <c r="K287" s="61">
        <f t="shared" si="43"/>
        <v>1754.8668976298209</v>
      </c>
      <c r="L287" s="61">
        <f>L286*(1+$J$17)^(1/12)</f>
        <v>8350.7304186846577</v>
      </c>
      <c r="M287" s="31">
        <f t="shared" si="44"/>
        <v>12</v>
      </c>
      <c r="N287" s="31">
        <f t="shared" si="45"/>
        <v>0</v>
      </c>
      <c r="O287" s="31">
        <f t="shared" si="46"/>
        <v>-2.25</v>
      </c>
      <c r="P287" s="62"/>
      <c r="Q287" s="31">
        <f t="shared" si="39"/>
        <v>-9.4187204844152213</v>
      </c>
      <c r="R287" s="31">
        <f>SUM($Q$36:Q287)</f>
        <v>-2959.4988415882126</v>
      </c>
      <c r="S287" s="83">
        <f>IF($L$2&lt;&gt;1,-(R287-$R$36)/B287*12/$Q$36,0)</f>
        <v>-0.18982977126802533</v>
      </c>
      <c r="T287" s="31">
        <f>SUMPRODUCT($Q$36:Q287,$E$36:E287)/E287-R287</f>
        <v>-2700.1033773311037</v>
      </c>
      <c r="U287" s="31">
        <f t="shared" si="40"/>
        <v>3636.3646794666238</v>
      </c>
      <c r="V287" s="31">
        <f t="shared" si="41"/>
        <v>4231.7646794666234</v>
      </c>
      <c r="W287" s="80" cm="1">
        <f t="array" ref="W287">IF($L$2&lt;&gt;1,IRR(IF(ROW($Q$36:Q287)=ROW(Q287),Q287+L287-K287,$Q$36:Q287),W286/12)*12,0)</f>
        <v>5.8110280412315696E-2</v>
      </c>
      <c r="X287" s="83">
        <f>(1+W287/12)^(B287)-1</f>
        <v>2.3620128354929721</v>
      </c>
    </row>
    <row r="288" spans="2:24" x14ac:dyDescent="0.25">
      <c r="B288" s="33">
        <v>252</v>
      </c>
      <c r="C288" s="81">
        <f t="shared" si="37"/>
        <v>21</v>
      </c>
      <c r="D288" s="105">
        <f t="shared" si="38"/>
        <v>3.9789301544717048E-3</v>
      </c>
      <c r="E288" s="106">
        <f t="shared" si="42"/>
        <v>0.36762170056599386</v>
      </c>
      <c r="F288" s="60">
        <f>rate</f>
        <v>3.2737397821989145E-3</v>
      </c>
      <c r="G288" s="31">
        <f>IF(AND(B287&gt;=gracia,12*años+gracia-B287&gt;0,$L$2&lt;&gt;1),PMT(F287,12*años-B287+gracia,-K287),0)</f>
        <v>19.168720484415225</v>
      </c>
      <c r="H288" s="31">
        <f>IF(AND(12*años+gracia-B287&gt;0,$L$2&lt;&gt;1),K287*F288,0)</f>
        <v>5.744977575234735</v>
      </c>
      <c r="I288" s="31">
        <f>IF(AND(12*años+gracia-B287&gt;0,$L$2&lt;&gt;1),G288-H288,0)</f>
        <v>13.42374290918049</v>
      </c>
      <c r="J288" s="62"/>
      <c r="K288" s="61">
        <f t="shared" si="43"/>
        <v>1741.4431547206405</v>
      </c>
      <c r="L288" s="61">
        <f>L287*(1+$J$17)^(1/12)</f>
        <v>8371.3255726929165</v>
      </c>
      <c r="M288" s="31">
        <f t="shared" si="44"/>
        <v>12</v>
      </c>
      <c r="N288" s="31">
        <f t="shared" si="45"/>
        <v>0</v>
      </c>
      <c r="O288" s="31">
        <f t="shared" si="46"/>
        <v>-2.25</v>
      </c>
      <c r="P288" s="62"/>
      <c r="Q288" s="31">
        <f t="shared" si="39"/>
        <v>-9.4187204844152248</v>
      </c>
      <c r="R288" s="31">
        <f>SUM($Q$36:Q288)</f>
        <v>-2968.9175620726278</v>
      </c>
      <c r="S288" s="83">
        <f>IF($L$2&lt;&gt;1,-(R288-$R$36)/B288*12/$Q$36,0)</f>
        <v>-0.18982977126802533</v>
      </c>
      <c r="T288" s="31">
        <f>SUMPRODUCT($Q$36:Q288,$E$36:E288)/E288-R288</f>
        <v>-2722.6225392622769</v>
      </c>
      <c r="U288" s="31">
        <f t="shared" si="40"/>
        <v>3660.9648558996487</v>
      </c>
      <c r="V288" s="31">
        <f t="shared" si="41"/>
        <v>4256.3648558996483</v>
      </c>
      <c r="W288" s="80" cm="1">
        <f t="array" ref="W288">IF($L$2&lt;&gt;1,IRR(IF(ROW($Q$36:Q288)=ROW(Q288),Q288+L288-K288,$Q$36:Q288),W287/12)*12,0)</f>
        <v>5.8036647911595018E-2</v>
      </c>
      <c r="X288" s="83">
        <f>(1+W288/12)^(B288)-1</f>
        <v>2.3730988215482323</v>
      </c>
    </row>
    <row r="289" spans="2:24" x14ac:dyDescent="0.25">
      <c r="B289" s="33">
        <v>253</v>
      </c>
      <c r="C289" s="81">
        <f t="shared" si="37"/>
        <v>21.083333333333332</v>
      </c>
      <c r="D289" s="105">
        <f t="shared" si="38"/>
        <v>3.9789301544717048E-3</v>
      </c>
      <c r="E289" s="106">
        <f t="shared" si="42"/>
        <v>0.36616475657455455</v>
      </c>
      <c r="F289" s="60">
        <f>rate</f>
        <v>3.2737397821989145E-3</v>
      </c>
      <c r="G289" s="31">
        <f>IF(AND(B288&gt;=gracia,12*años+gracia-B288&gt;0,$L$2&lt;&gt;1),PMT(F288,12*años-B288+gracia,-K288),0)</f>
        <v>19.168720484415225</v>
      </c>
      <c r="H289" s="31">
        <f>IF(AND(12*años+gracia-B288&gt;0,$L$2&lt;&gt;1),K288*F289,0)</f>
        <v>5.7010317340469401</v>
      </c>
      <c r="I289" s="31">
        <f>IF(AND(12*años+gracia-B288&gt;0,$L$2&lt;&gt;1),G289-H289,0)</f>
        <v>13.467688750368286</v>
      </c>
      <c r="J289" s="62"/>
      <c r="K289" s="61">
        <f t="shared" si="43"/>
        <v>1727.9754659702721</v>
      </c>
      <c r="L289" s="61">
        <f>L288*(1+$J$17)^(1/12)</f>
        <v>8391.9715199069615</v>
      </c>
      <c r="M289" s="31">
        <f t="shared" si="44"/>
        <v>12</v>
      </c>
      <c r="N289" s="31">
        <f t="shared" si="45"/>
        <v>0</v>
      </c>
      <c r="O289" s="31">
        <f t="shared" si="46"/>
        <v>-2.25</v>
      </c>
      <c r="P289" s="62"/>
      <c r="Q289" s="31">
        <f t="shared" si="39"/>
        <v>-9.4187204844152248</v>
      </c>
      <c r="R289" s="31">
        <f>SUM($Q$36:Q289)</f>
        <v>-2978.336282557043</v>
      </c>
      <c r="S289" s="83">
        <f>IF($L$2&lt;&gt;1,-(R289-$R$36)/B289*12/$Q$36,0)</f>
        <v>-0.18982977126802533</v>
      </c>
      <c r="T289" s="31">
        <f>SUMPRODUCT($Q$36:Q289,$E$36:E289)/E289-R289</f>
        <v>-2745.2687797968638</v>
      </c>
      <c r="U289" s="31">
        <f t="shared" si="40"/>
        <v>3685.6597713796464</v>
      </c>
      <c r="V289" s="31">
        <f t="shared" si="41"/>
        <v>4281.059771379646</v>
      </c>
      <c r="W289" s="80" cm="1">
        <f t="array" ref="W289">IF($L$2&lt;&gt;1,IRR(IF(ROW($Q$36:Q289)=ROW(Q289),Q289+L289-K289,$Q$36:Q289),W288/12)*12,0)</f>
        <v>5.7963386600532019E-2</v>
      </c>
      <c r="X289" s="83">
        <f>(1+W289/12)^(B289)-1</f>
        <v>2.3842063568110556</v>
      </c>
    </row>
    <row r="290" spans="2:24" x14ac:dyDescent="0.25">
      <c r="B290" s="33">
        <v>254</v>
      </c>
      <c r="C290" s="81">
        <f t="shared" si="37"/>
        <v>21.166666666666668</v>
      </c>
      <c r="D290" s="105">
        <f t="shared" si="38"/>
        <v>3.9789301544717048E-3</v>
      </c>
      <c r="E290" s="106">
        <f t="shared" si="42"/>
        <v>0.36471358668674114</v>
      </c>
      <c r="F290" s="60">
        <f>rate</f>
        <v>3.2737397821989145E-3</v>
      </c>
      <c r="G290" s="31">
        <f>IF(AND(B289&gt;=gracia,12*años+gracia-B289&gt;0,$L$2&lt;&gt;1),PMT(F289,12*años-B289+gracia,-K289),0)</f>
        <v>19.168720484415225</v>
      </c>
      <c r="H290" s="31">
        <f>IF(AND(12*años+gracia-B289&gt;0,$L$2&lt;&gt;1),K289*F290,0)</f>
        <v>5.6569420256105865</v>
      </c>
      <c r="I290" s="31">
        <f>IF(AND(12*años+gracia-B289&gt;0,$L$2&lt;&gt;1),G290-H290,0)</f>
        <v>13.511778458804638</v>
      </c>
      <c r="J290" s="62"/>
      <c r="K290" s="61">
        <f t="shared" si="43"/>
        <v>1714.4636875114675</v>
      </c>
      <c r="L290" s="61">
        <f>L289*(1+$J$17)^(1/12)</f>
        <v>8412.6683855965421</v>
      </c>
      <c r="M290" s="31">
        <f t="shared" si="44"/>
        <v>12</v>
      </c>
      <c r="N290" s="31">
        <f t="shared" si="45"/>
        <v>0</v>
      </c>
      <c r="O290" s="31">
        <f t="shared" si="46"/>
        <v>-2.25</v>
      </c>
      <c r="P290" s="62"/>
      <c r="Q290" s="31">
        <f t="shared" si="39"/>
        <v>-9.4187204844152248</v>
      </c>
      <c r="R290" s="31">
        <f>SUM($Q$36:Q290)</f>
        <v>-2987.7550030414582</v>
      </c>
      <c r="S290" s="83">
        <f>IF($L$2&lt;&gt;1,-(R290-$R$36)/B290*12/$Q$36,0)</f>
        <v>-0.18982977126802533</v>
      </c>
      <c r="T290" s="31">
        <f>SUMPRODUCT($Q$36:Q290,$E$36:E290)/E290-R290</f>
        <v>-2768.0426045717518</v>
      </c>
      <c r="U290" s="31">
        <f t="shared" si="40"/>
        <v>3710.4496950436169</v>
      </c>
      <c r="V290" s="31">
        <f t="shared" si="41"/>
        <v>4305.8496950436165</v>
      </c>
      <c r="W290" s="80" cm="1">
        <f t="array" ref="W290">IF($L$2&lt;&gt;1,IRR(IF(ROW($Q$36:Q290)=ROW(Q290),Q290+L290-K290,$Q$36:Q290),W289/12)*12,0)</f>
        <v>5.7890494099275713E-2</v>
      </c>
      <c r="X290" s="83">
        <f>(1+W290/12)^(B290)-1</f>
        <v>2.3953355570300574</v>
      </c>
    </row>
    <row r="291" spans="2:24" x14ac:dyDescent="0.25">
      <c r="B291" s="33">
        <v>255</v>
      </c>
      <c r="C291" s="81">
        <f t="shared" si="37"/>
        <v>21.25</v>
      </c>
      <c r="D291" s="105">
        <f t="shared" si="38"/>
        <v>3.9789301544717048E-3</v>
      </c>
      <c r="E291" s="106">
        <f t="shared" si="42"/>
        <v>0.36326816801885126</v>
      </c>
      <c r="F291" s="60">
        <f>rate</f>
        <v>3.2737397821989145E-3</v>
      </c>
      <c r="G291" s="31">
        <f>IF(AND(B290&gt;=gracia,12*años+gracia-B290&gt;0,$L$2&lt;&gt;1),PMT(F290,12*años-B290+gracia,-K290),0)</f>
        <v>19.168720484415225</v>
      </c>
      <c r="H291" s="31">
        <f>IF(AND(12*años+gracia-B290&gt;0,$L$2&lt;&gt;1),K290*F291,0)</f>
        <v>5.6127079789417396</v>
      </c>
      <c r="I291" s="31">
        <f>IF(AND(12*años+gracia-B290&gt;0,$L$2&lt;&gt;1),G291-H291,0)</f>
        <v>13.556012505473486</v>
      </c>
      <c r="J291" s="62"/>
      <c r="K291" s="61">
        <f t="shared" si="43"/>
        <v>1700.907675005994</v>
      </c>
      <c r="L291" s="61">
        <f>L290*(1+$J$17)^(1/12)</f>
        <v>8433.4162953403538</v>
      </c>
      <c r="M291" s="31">
        <f t="shared" si="44"/>
        <v>12</v>
      </c>
      <c r="N291" s="31">
        <f t="shared" si="45"/>
        <v>0</v>
      </c>
      <c r="O291" s="31">
        <f t="shared" si="46"/>
        <v>-2.25</v>
      </c>
      <c r="P291" s="62"/>
      <c r="Q291" s="31">
        <f t="shared" si="39"/>
        <v>-9.4187204844152248</v>
      </c>
      <c r="R291" s="31">
        <f>SUM($Q$36:Q291)</f>
        <v>-2997.1737235258734</v>
      </c>
      <c r="S291" s="83">
        <f>IF($L$2&lt;&gt;1,-(R291-$R$36)/B291*12/$Q$36,0)</f>
        <v>-0.18982977126802533</v>
      </c>
      <c r="T291" s="31">
        <f>SUMPRODUCT($Q$36:Q291,$E$36:E291)/E291-R291</f>
        <v>-2790.9445212357195</v>
      </c>
      <c r="U291" s="31">
        <f t="shared" si="40"/>
        <v>3735.3348968084865</v>
      </c>
      <c r="V291" s="31">
        <f t="shared" si="41"/>
        <v>4330.7348968084862</v>
      </c>
      <c r="W291" s="80" cm="1">
        <f t="array" ref="W291">IF($L$2&lt;&gt;1,IRR(IF(ROW($Q$36:Q291)=ROW(Q291),Q291+L291-K291,$Q$36:Q291),W290/12)*12,0)</f>
        <v>5.7817968041524281E-2</v>
      </c>
      <c r="X291" s="83">
        <f>(1+W291/12)^(B291)-1</f>
        <v>2.4064865377479268</v>
      </c>
    </row>
    <row r="292" spans="2:24" x14ac:dyDescent="0.25">
      <c r="B292" s="33">
        <v>256</v>
      </c>
      <c r="C292" s="81">
        <f t="shared" si="37"/>
        <v>21.333333333333332</v>
      </c>
      <c r="D292" s="105">
        <f t="shared" si="38"/>
        <v>3.9789301544717048E-3</v>
      </c>
      <c r="E292" s="106">
        <f t="shared" si="42"/>
        <v>0.3618284777778743</v>
      </c>
      <c r="F292" s="60">
        <f>rate</f>
        <v>3.2737397821989145E-3</v>
      </c>
      <c r="G292" s="31">
        <f>IF(AND(B291&gt;=gracia,12*años+gracia-B291&gt;0,$L$2&lt;&gt;1),PMT(F291,12*años-B291+gracia,-K291),0)</f>
        <v>19.168720484415221</v>
      </c>
      <c r="H292" s="31">
        <f>IF(AND(12*años+gracia-B291&gt;0,$L$2&lt;&gt;1),K291*F292,0)</f>
        <v>5.5683291215145845</v>
      </c>
      <c r="I292" s="31">
        <f>IF(AND(12*años+gracia-B291&gt;0,$L$2&lt;&gt;1),G292-H292,0)</f>
        <v>13.600391362900638</v>
      </c>
      <c r="J292" s="62"/>
      <c r="K292" s="61">
        <f t="shared" si="43"/>
        <v>1687.3072836430933</v>
      </c>
      <c r="L292" s="61">
        <f>L291*(1+$J$17)^(1/12)</f>
        <v>8454.2153750268044</v>
      </c>
      <c r="M292" s="31">
        <f t="shared" si="44"/>
        <v>12</v>
      </c>
      <c r="N292" s="31">
        <f t="shared" si="45"/>
        <v>0</v>
      </c>
      <c r="O292" s="31">
        <f t="shared" si="46"/>
        <v>-2.25</v>
      </c>
      <c r="P292" s="62"/>
      <c r="Q292" s="31">
        <f t="shared" si="39"/>
        <v>-9.4187204844152213</v>
      </c>
      <c r="R292" s="31">
        <f>SUM($Q$36:Q292)</f>
        <v>-3006.5924440102885</v>
      </c>
      <c r="S292" s="83">
        <f>IF($L$2&lt;&gt;1,-(R292-$R$36)/B292*12/$Q$36,0)</f>
        <v>-0.18982977126802533</v>
      </c>
      <c r="T292" s="31">
        <f>SUMPRODUCT($Q$36:Q292,$E$36:E292)/E292-R292</f>
        <v>-2813.975039457448</v>
      </c>
      <c r="U292" s="31">
        <f t="shared" si="40"/>
        <v>3760.3156473734225</v>
      </c>
      <c r="V292" s="31">
        <f t="shared" si="41"/>
        <v>4355.7156473734221</v>
      </c>
      <c r="W292" s="80" cm="1">
        <f t="array" ref="W292">IF($L$2&lt;&gt;1,IRR(IF(ROW($Q$36:Q292)=ROW(Q292),Q292+L292-K292,$Q$36:Q292),W291/12)*12,0)</f>
        <v>5.7745806074663619E-2</v>
      </c>
      <c r="X292" s="83">
        <f>(1+W292/12)^(B292)-1</f>
        <v>2.417659414311387</v>
      </c>
    </row>
    <row r="293" spans="2:24" x14ac:dyDescent="0.25">
      <c r="B293" s="33">
        <v>257</v>
      </c>
      <c r="C293" s="81">
        <f t="shared" ref="C293:C356" si="47">B293/12</f>
        <v>21.416666666666668</v>
      </c>
      <c r="D293" s="105">
        <f t="shared" ref="D293:D356" si="48">(1+$E$3/360)^30-1-((1+$E$4)^(1/12)-1)</f>
        <v>3.9789301544717048E-3</v>
      </c>
      <c r="E293" s="106">
        <f t="shared" si="42"/>
        <v>0.36039449326113204</v>
      </c>
      <c r="F293" s="60">
        <f>rate</f>
        <v>3.2737397821989145E-3</v>
      </c>
      <c r="G293" s="31">
        <f>IF(AND(B292&gt;=gracia,12*años+gracia-B292&gt;0,$L$2&lt;&gt;1),PMT(F292,12*años-B292+gracia,-K292),0)</f>
        <v>19.168720484415225</v>
      </c>
      <c r="H293" s="31">
        <f>IF(AND(12*años+gracia-B292&gt;0,$L$2&lt;&gt;1),K292*F293,0)</f>
        <v>5.5238049792563828</v>
      </c>
      <c r="I293" s="31">
        <f>IF(AND(12*años+gracia-B292&gt;0,$L$2&lt;&gt;1),G293-H293,0)</f>
        <v>13.644915505158842</v>
      </c>
      <c r="J293" s="62"/>
      <c r="K293" s="61">
        <f t="shared" si="43"/>
        <v>1673.6623681379344</v>
      </c>
      <c r="L293" s="61">
        <f>L292*(1+$J$17)^(1/12)</f>
        <v>8475.0657508547774</v>
      </c>
      <c r="M293" s="31">
        <f t="shared" si="44"/>
        <v>12</v>
      </c>
      <c r="N293" s="31">
        <f t="shared" si="45"/>
        <v>0</v>
      </c>
      <c r="O293" s="31">
        <f t="shared" si="46"/>
        <v>-2.25</v>
      </c>
      <c r="P293" s="62"/>
      <c r="Q293" s="31">
        <f t="shared" ref="Q293:Q356" si="49">P293+O293+N293+M293-J293-G293</f>
        <v>-9.4187204844152248</v>
      </c>
      <c r="R293" s="31">
        <f>SUM($Q$36:Q293)</f>
        <v>-3016.0111644947037</v>
      </c>
      <c r="S293" s="83">
        <f>IF($L$2&lt;&gt;1,-(R293-$R$36)/B293*12/$Q$36,0)</f>
        <v>-0.18982977126802533</v>
      </c>
      <c r="T293" s="31">
        <f>SUMPRODUCT($Q$36:Q293,$E$36:E293)/E293-R293</f>
        <v>-2837.1346709335548</v>
      </c>
      <c r="U293" s="31">
        <f t="shared" ref="U293:U356" si="50">R293-K293+L293</f>
        <v>3785.3922182221395</v>
      </c>
      <c r="V293" s="31">
        <f t="shared" ref="V293:V356" si="51">IF($L$2&lt;&gt;1,U293+$E$30,U293)</f>
        <v>4380.7922182221391</v>
      </c>
      <c r="W293" s="80" cm="1">
        <f t="array" ref="W293">IF($L$2&lt;&gt;1,IRR(IF(ROW($Q$36:Q293)=ROW(Q293),Q293+L293-K293,$Q$36:Q293),W292/12)*12,0)</f>
        <v>5.7674005859815303E-2</v>
      </c>
      <c r="X293" s="83">
        <f>(1+W293/12)^(B293)-1</f>
        <v>2.4288543018748463</v>
      </c>
    </row>
    <row r="294" spans="2:24" x14ac:dyDescent="0.25">
      <c r="B294" s="33">
        <v>258</v>
      </c>
      <c r="C294" s="81">
        <f t="shared" si="47"/>
        <v>21.5</v>
      </c>
      <c r="D294" s="105">
        <f t="shared" si="48"/>
        <v>3.9789301544717048E-3</v>
      </c>
      <c r="E294" s="106">
        <f t="shared" ref="E294:E357" si="52">E293/(1+D294)</f>
        <v>0.35896619185592066</v>
      </c>
      <c r="F294" s="60">
        <f>rate</f>
        <v>3.2737397821989145E-3</v>
      </c>
      <c r="G294" s="31">
        <f>IF(AND(B293&gt;=gracia,12*años+gracia-B293&gt;0,$L$2&lt;&gt;1),PMT(F293,12*años-B293+gracia,-K293),0)</f>
        <v>19.168720484415225</v>
      </c>
      <c r="H294" s="31">
        <f>IF(AND(12*años+gracia-B293&gt;0,$L$2&lt;&gt;1),K293*F294,0)</f>
        <v>5.4791350765424012</v>
      </c>
      <c r="I294" s="31">
        <f>IF(AND(12*años+gracia-B293&gt;0,$L$2&lt;&gt;1),G294-H294,0)</f>
        <v>13.689585407872823</v>
      </c>
      <c r="J294" s="62"/>
      <c r="K294" s="61">
        <f t="shared" ref="K294:K357" si="53">K293-I294-J294</f>
        <v>1659.9727827300617</v>
      </c>
      <c r="L294" s="61">
        <f>L293*(1+$J$17)^(1/12)</f>
        <v>8495.9675493343966</v>
      </c>
      <c r="M294" s="31">
        <f t="shared" ref="M294:M357" si="54">IF($L$2=3,$J$7*$J$16,0)</f>
        <v>12</v>
      </c>
      <c r="N294" s="31">
        <f t="shared" ref="N294:N357" si="55">-$J$28</f>
        <v>0</v>
      </c>
      <c r="O294" s="31">
        <f t="shared" ref="O294:O357" si="56">IF($L$2&lt;&gt;1,-$E$17-$E$18,0)</f>
        <v>-2.25</v>
      </c>
      <c r="P294" s="62"/>
      <c r="Q294" s="31">
        <f t="shared" si="49"/>
        <v>-9.4187204844152248</v>
      </c>
      <c r="R294" s="31">
        <f>SUM($Q$36:Q294)</f>
        <v>-3025.4298849791189</v>
      </c>
      <c r="S294" s="83">
        <f>IF($L$2&lt;&gt;1,-(R294-$R$36)/B294*12/$Q$36,0)</f>
        <v>-0.18982977126802533</v>
      </c>
      <c r="T294" s="31">
        <f>SUMPRODUCT($Q$36:Q294,$E$36:E294)/E294-R294</f>
        <v>-2860.4239293966607</v>
      </c>
      <c r="U294" s="31">
        <f t="shared" si="50"/>
        <v>3810.564881625216</v>
      </c>
      <c r="V294" s="31">
        <f t="shared" si="51"/>
        <v>4405.9648816252156</v>
      </c>
      <c r="W294" s="80" cm="1">
        <f t="array" ref="W294">IF($L$2&lt;&gt;1,IRR(IF(ROW($Q$36:Q294)=ROW(Q294),Q294+L294-K294,$Q$36:Q294),W293/12)*12,0)</f>
        <v>5.7602565071913858E-2</v>
      </c>
      <c r="X294" s="83">
        <f>(1+W294/12)^(B294)-1</f>
        <v>2.440071315406124</v>
      </c>
    </row>
    <row r="295" spans="2:24" x14ac:dyDescent="0.25">
      <c r="B295" s="33">
        <v>259</v>
      </c>
      <c r="C295" s="81">
        <f t="shared" si="47"/>
        <v>21.583333333333332</v>
      </c>
      <c r="D295" s="105">
        <f t="shared" si="48"/>
        <v>3.9789301544717048E-3</v>
      </c>
      <c r="E295" s="106">
        <f t="shared" si="52"/>
        <v>0.35754355103915408</v>
      </c>
      <c r="F295" s="60">
        <f>rate</f>
        <v>3.2737397821989145E-3</v>
      </c>
      <c r="G295" s="31">
        <f>IF(AND(B294&gt;=gracia,12*años+gracia-B294&gt;0,$L$2&lt;&gt;1),PMT(F294,12*años-B294+gracia,-K294),0)</f>
        <v>19.168720484415225</v>
      </c>
      <c r="H295" s="31">
        <f>IF(AND(12*años+gracia-B294&gt;0,$L$2&lt;&gt;1),K294*F295,0)</f>
        <v>5.4343189361908379</v>
      </c>
      <c r="I295" s="31">
        <f>IF(AND(12*años+gracia-B294&gt;0,$L$2&lt;&gt;1),G295-H295,0)</f>
        <v>13.734401548224387</v>
      </c>
      <c r="J295" s="62"/>
      <c r="K295" s="61">
        <f t="shared" si="53"/>
        <v>1646.2383811818372</v>
      </c>
      <c r="L295" s="61">
        <f>L294*(1+$J$17)^(1/12)</f>
        <v>8516.9208972877932</v>
      </c>
      <c r="M295" s="31">
        <f t="shared" si="54"/>
        <v>12</v>
      </c>
      <c r="N295" s="31">
        <f t="shared" si="55"/>
        <v>0</v>
      </c>
      <c r="O295" s="31">
        <f t="shared" si="56"/>
        <v>-2.25</v>
      </c>
      <c r="P295" s="62"/>
      <c r="Q295" s="31">
        <f t="shared" si="49"/>
        <v>-9.4187204844152248</v>
      </c>
      <c r="R295" s="31">
        <f>SUM($Q$36:Q295)</f>
        <v>-3034.8486054635341</v>
      </c>
      <c r="S295" s="83">
        <f>IF($L$2&lt;&gt;1,-(R295-$R$36)/B295*12/$Q$36,0)</f>
        <v>-0.18982977126802533</v>
      </c>
      <c r="T295" s="31">
        <f>SUMPRODUCT($Q$36:Q295,$E$36:E295)/E295-R295</f>
        <v>-2883.8433306234929</v>
      </c>
      <c r="U295" s="31">
        <f t="shared" si="50"/>
        <v>3835.8339106424219</v>
      </c>
      <c r="V295" s="31">
        <f t="shared" si="51"/>
        <v>4431.2339106424215</v>
      </c>
      <c r="W295" s="80" cm="1">
        <f t="array" ref="W295">IF($L$2&lt;&gt;1,IRR(IF(ROW($Q$36:Q295)=ROW(Q295),Q295+L295-K295,$Q$36:Q295),W294/12)*12,0)</f>
        <v>5.7531481399792028E-2</v>
      </c>
      <c r="X295" s="83">
        <f>(1+W295/12)^(B295)-1</f>
        <v>2.4513105696943671</v>
      </c>
    </row>
    <row r="296" spans="2:24" x14ac:dyDescent="0.25">
      <c r="B296" s="33">
        <v>260</v>
      </c>
      <c r="C296" s="81">
        <f t="shared" si="47"/>
        <v>21.666666666666668</v>
      </c>
      <c r="D296" s="105">
        <f t="shared" si="48"/>
        <v>3.9789301544717048E-3</v>
      </c>
      <c r="E296" s="106">
        <f t="shared" si="52"/>
        <v>0.35612654837700886</v>
      </c>
      <c r="F296" s="60">
        <f>rate</f>
        <v>3.2737397821989145E-3</v>
      </c>
      <c r="G296" s="31">
        <f>IF(AND(B295&gt;=gracia,12*años+gracia-B295&gt;0,$L$2&lt;&gt;1),PMT(F295,12*años-B295+gracia,-K295),0)</f>
        <v>19.168720484415225</v>
      </c>
      <c r="H296" s="31">
        <f>IF(AND(12*años+gracia-B295&gt;0,$L$2&lt;&gt;1),K295*F296,0)</f>
        <v>5.3893560794577215</v>
      </c>
      <c r="I296" s="31">
        <f>IF(AND(12*años+gracia-B295&gt;0,$L$2&lt;&gt;1),G296-H296,0)</f>
        <v>13.779364404957503</v>
      </c>
      <c r="J296" s="62"/>
      <c r="K296" s="61">
        <f t="shared" si="53"/>
        <v>1632.4590167768797</v>
      </c>
      <c r="L296" s="61">
        <f>L295*(1+$J$17)^(1/12)</f>
        <v>8537.9259218498755</v>
      </c>
      <c r="M296" s="31">
        <f t="shared" si="54"/>
        <v>12</v>
      </c>
      <c r="N296" s="31">
        <f t="shared" si="55"/>
        <v>0</v>
      </c>
      <c r="O296" s="31">
        <f t="shared" si="56"/>
        <v>-2.25</v>
      </c>
      <c r="P296" s="62"/>
      <c r="Q296" s="31">
        <f t="shared" si="49"/>
        <v>-9.4187204844152248</v>
      </c>
      <c r="R296" s="31">
        <f>SUM($Q$36:Q296)</f>
        <v>-3044.2673259479493</v>
      </c>
      <c r="S296" s="83">
        <f>IF($L$2&lt;&gt;1,-(R296-$R$36)/B296*12/$Q$36,0)</f>
        <v>-0.18982977126802533</v>
      </c>
      <c r="T296" s="31">
        <f>SUMPRODUCT($Q$36:Q296,$E$36:E296)/E296-R296</f>
        <v>-2907.3933924430189</v>
      </c>
      <c r="U296" s="31">
        <f t="shared" si="50"/>
        <v>3861.1995791250465</v>
      </c>
      <c r="V296" s="31">
        <f t="shared" si="51"/>
        <v>4456.5995791250461</v>
      </c>
      <c r="W296" s="80" cm="1">
        <f t="array" ref="W296">IF($L$2&lt;&gt;1,IRR(IF(ROW($Q$36:Q296)=ROW(Q296),Q296+L296-K296,$Q$36:Q296),W295/12)*12,0)</f>
        <v>5.7460752546207416E-2</v>
      </c>
      <c r="X296" s="83">
        <f>(1+W296/12)^(B296)-1</f>
        <v>2.4625721793528275</v>
      </c>
    </row>
    <row r="297" spans="2:24" x14ac:dyDescent="0.25">
      <c r="B297" s="33">
        <v>261</v>
      </c>
      <c r="C297" s="81">
        <f t="shared" si="47"/>
        <v>21.75</v>
      </c>
      <c r="D297" s="105">
        <f t="shared" si="48"/>
        <v>3.9789301544717048E-3</v>
      </c>
      <c r="E297" s="106">
        <f t="shared" si="52"/>
        <v>0.35471516152457044</v>
      </c>
      <c r="F297" s="60">
        <f>rate</f>
        <v>3.2737397821989145E-3</v>
      </c>
      <c r="G297" s="31">
        <f>IF(AND(B296&gt;=gracia,12*años+gracia-B296&gt;0,$L$2&lt;&gt;1),PMT(F296,12*años-B296+gracia,-K296),0)</f>
        <v>19.168720484415225</v>
      </c>
      <c r="H297" s="31">
        <f>IF(AND(12*años+gracia-B296&gt;0,$L$2&lt;&gt;1),K296*F297,0)</f>
        <v>5.3442460260317963</v>
      </c>
      <c r="I297" s="31">
        <f>IF(AND(12*años+gracia-B296&gt;0,$L$2&lt;&gt;1),G297-H297,0)</f>
        <v>13.824474458383428</v>
      </c>
      <c r="J297" s="62"/>
      <c r="K297" s="61">
        <f t="shared" si="53"/>
        <v>1618.6345423184962</v>
      </c>
      <c r="L297" s="61">
        <f>L296*(1+$J$17)^(1/12)</f>
        <v>8558.982750469102</v>
      </c>
      <c r="M297" s="31">
        <f t="shared" si="54"/>
        <v>12</v>
      </c>
      <c r="N297" s="31">
        <f t="shared" si="55"/>
        <v>0</v>
      </c>
      <c r="O297" s="31">
        <f t="shared" si="56"/>
        <v>-2.25</v>
      </c>
      <c r="P297" s="62"/>
      <c r="Q297" s="31">
        <f t="shared" si="49"/>
        <v>-9.4187204844152248</v>
      </c>
      <c r="R297" s="31">
        <f>SUM($Q$36:Q297)</f>
        <v>-3053.6860464323645</v>
      </c>
      <c r="S297" s="83">
        <f>IF($L$2&lt;&gt;1,-(R297-$R$36)/B297*12/$Q$36,0)</f>
        <v>-0.18982977126802533</v>
      </c>
      <c r="T297" s="31">
        <f>SUMPRODUCT($Q$36:Q297,$E$36:E297)/E297-R297</f>
        <v>-2931.0746347446093</v>
      </c>
      <c r="U297" s="31">
        <f t="shared" si="50"/>
        <v>3886.6621617182409</v>
      </c>
      <c r="V297" s="31">
        <f t="shared" si="51"/>
        <v>4482.0621617182405</v>
      </c>
      <c r="W297" s="80" cm="1">
        <f t="array" ref="W297">IF($L$2&lt;&gt;1,IRR(IF(ROW($Q$36:Q297)=ROW(Q297),Q297+L297-K297,$Q$36:Q297),W296/12)*12,0)</f>
        <v>5.7390376227925088E-2</v>
      </c>
      <c r="X297" s="83">
        <f>(1+W297/12)^(B297)-1</f>
        <v>2.4738562588277624</v>
      </c>
    </row>
    <row r="298" spans="2:24" x14ac:dyDescent="0.25">
      <c r="B298" s="33">
        <v>262</v>
      </c>
      <c r="C298" s="81">
        <f t="shared" si="47"/>
        <v>21.833333333333332</v>
      </c>
      <c r="D298" s="105">
        <f t="shared" si="48"/>
        <v>3.9789301544717048E-3</v>
      </c>
      <c r="E298" s="106">
        <f t="shared" si="52"/>
        <v>0.35330936822548076</v>
      </c>
      <c r="F298" s="60">
        <f>rate</f>
        <v>3.2737397821989145E-3</v>
      </c>
      <c r="G298" s="31">
        <f>IF(AND(B297&gt;=gracia,12*años+gracia-B297&gt;0,$L$2&lt;&gt;1),PMT(F297,12*años-B297+gracia,-K297),0)</f>
        <v>19.168720484415221</v>
      </c>
      <c r="H298" s="31">
        <f>IF(AND(12*años+gracia-B297&gt;0,$L$2&lt;&gt;1),K297*F298,0)</f>
        <v>5.2989882940293933</v>
      </c>
      <c r="I298" s="31">
        <f>IF(AND(12*años+gracia-B297&gt;0,$L$2&lt;&gt;1),G298-H298,0)</f>
        <v>13.869732190385829</v>
      </c>
      <c r="J298" s="62"/>
      <c r="K298" s="61">
        <f t="shared" si="53"/>
        <v>1604.7648101281104</v>
      </c>
      <c r="L298" s="61">
        <f>L297*(1+$J$17)^(1/12)</f>
        <v>8580.0915109082525</v>
      </c>
      <c r="M298" s="31">
        <f t="shared" si="54"/>
        <v>12</v>
      </c>
      <c r="N298" s="31">
        <f t="shared" si="55"/>
        <v>0</v>
      </c>
      <c r="O298" s="31">
        <f t="shared" si="56"/>
        <v>-2.25</v>
      </c>
      <c r="P298" s="62"/>
      <c r="Q298" s="31">
        <f t="shared" si="49"/>
        <v>-9.4187204844152213</v>
      </c>
      <c r="R298" s="31">
        <f>SUM($Q$36:Q298)</f>
        <v>-3063.1047669167797</v>
      </c>
      <c r="S298" s="83">
        <f>IF($L$2&lt;&gt;1,-(R298-$R$36)/B298*12/$Q$36,0)</f>
        <v>-0.18982977126802533</v>
      </c>
      <c r="T298" s="31">
        <f>SUMPRODUCT($Q$36:Q298,$E$36:E298)/E298-R298</f>
        <v>-2954.8875794862411</v>
      </c>
      <c r="U298" s="31">
        <f t="shared" si="50"/>
        <v>3912.2219338633622</v>
      </c>
      <c r="V298" s="31">
        <f t="shared" si="51"/>
        <v>4507.6219338633618</v>
      </c>
      <c r="W298" s="80" cm="1">
        <f t="array" ref="W298">IF($L$2&lt;&gt;1,IRR(IF(ROW($Q$36:Q298)=ROW(Q298),Q298+L298-K298,$Q$36:Q298),W297/12)*12,0)</f>
        <v>5.7320350175733559E-2</v>
      </c>
      <c r="X298" s="83">
        <f>(1+W298/12)^(B298)-1</f>
        <v>2.4851629224010052</v>
      </c>
    </row>
    <row r="299" spans="2:24" x14ac:dyDescent="0.25">
      <c r="B299" s="33">
        <v>263</v>
      </c>
      <c r="C299" s="81">
        <f t="shared" si="47"/>
        <v>21.916666666666668</v>
      </c>
      <c r="D299" s="105">
        <f t="shared" si="48"/>
        <v>3.9789301544717048E-3</v>
      </c>
      <c r="E299" s="106">
        <f t="shared" si="52"/>
        <v>0.35190914631158721</v>
      </c>
      <c r="F299" s="60">
        <f>rate</f>
        <v>3.2737397821989145E-3</v>
      </c>
      <c r="G299" s="31">
        <f>IF(AND(B298&gt;=gracia,12*años+gracia-B298&gt;0,$L$2&lt;&gt;1),PMT(F298,12*años-B298+gracia,-K298),0)</f>
        <v>19.168720484415221</v>
      </c>
      <c r="H299" s="31">
        <f>IF(AND(12*años+gracia-B298&gt;0,$L$2&lt;&gt;1),K298*F299,0)</f>
        <v>5.2535823999892823</v>
      </c>
      <c r="I299" s="31">
        <f>IF(AND(12*años+gracia-B298&gt;0,$L$2&lt;&gt;1),G299-H299,0)</f>
        <v>13.915138084425939</v>
      </c>
      <c r="J299" s="62"/>
      <c r="K299" s="61">
        <f t="shared" si="53"/>
        <v>1590.8496720436844</v>
      </c>
      <c r="L299" s="61">
        <f>L298*(1+$J$17)^(1/12)</f>
        <v>8601.2523312452049</v>
      </c>
      <c r="M299" s="31">
        <f t="shared" si="54"/>
        <v>12</v>
      </c>
      <c r="N299" s="31">
        <f t="shared" si="55"/>
        <v>0</v>
      </c>
      <c r="O299" s="31">
        <f t="shared" si="56"/>
        <v>-2.25</v>
      </c>
      <c r="P299" s="62"/>
      <c r="Q299" s="31">
        <f t="shared" si="49"/>
        <v>-9.4187204844152213</v>
      </c>
      <c r="R299" s="31">
        <f>SUM($Q$36:Q299)</f>
        <v>-3072.5234874011949</v>
      </c>
      <c r="S299" s="83">
        <f>IF($L$2&lt;&gt;1,-(R299-$R$36)/B299*12/$Q$36,0)</f>
        <v>-0.18982977126802533</v>
      </c>
      <c r="T299" s="31">
        <f>SUMPRODUCT($Q$36:Q299,$E$36:E299)/E299-R299</f>
        <v>-2978.8327507027234</v>
      </c>
      <c r="U299" s="31">
        <f t="shared" si="50"/>
        <v>3937.8791718003258</v>
      </c>
      <c r="V299" s="31">
        <f t="shared" si="51"/>
        <v>4533.2791718003255</v>
      </c>
      <c r="W299" s="80" cm="1">
        <f t="array" ref="W299">IF($L$2&lt;&gt;1,IRR(IF(ROW($Q$36:Q299)=ROW(Q299),Q299+L299-K299,$Q$36:Q299),W298/12)*12,0)</f>
        <v>5.7250672134506075E-2</v>
      </c>
      <c r="X299" s="83">
        <f>(1+W299/12)^(B299)-1</f>
        <v>2.4964922841977115</v>
      </c>
    </row>
    <row r="300" spans="2:24" x14ac:dyDescent="0.25">
      <c r="B300" s="33">
        <v>264</v>
      </c>
      <c r="C300" s="81">
        <f t="shared" si="47"/>
        <v>22</v>
      </c>
      <c r="D300" s="105">
        <f t="shared" si="48"/>
        <v>3.9789301544717048E-3</v>
      </c>
      <c r="E300" s="106">
        <f t="shared" si="52"/>
        <v>0.3505144737025932</v>
      </c>
      <c r="F300" s="60">
        <f>rate</f>
        <v>3.2737397821989145E-3</v>
      </c>
      <c r="G300" s="31">
        <f>IF(AND(B299&gt;=gracia,12*años+gracia-B299&gt;0,$L$2&lt;&gt;1),PMT(F299,12*años-B299+gracia,-K299),0)</f>
        <v>19.168720484415225</v>
      </c>
      <c r="H300" s="31">
        <f>IF(AND(12*años+gracia-B299&gt;0,$L$2&lt;&gt;1),K299*F300,0)</f>
        <v>5.2080278588675064</v>
      </c>
      <c r="I300" s="31">
        <f>IF(AND(12*años+gracia-B299&gt;0,$L$2&lt;&gt;1),G300-H300,0)</f>
        <v>13.960692625547718</v>
      </c>
      <c r="J300" s="62"/>
      <c r="K300" s="61">
        <f t="shared" si="53"/>
        <v>1576.8889794181368</v>
      </c>
      <c r="L300" s="61">
        <f>L299*(1+$J$17)^(1/12)</f>
        <v>8622.4653398737119</v>
      </c>
      <c r="M300" s="31">
        <f t="shared" si="54"/>
        <v>12</v>
      </c>
      <c r="N300" s="31">
        <f t="shared" si="55"/>
        <v>0</v>
      </c>
      <c r="O300" s="31">
        <f t="shared" si="56"/>
        <v>-2.25</v>
      </c>
      <c r="P300" s="62"/>
      <c r="Q300" s="31">
        <f t="shared" si="49"/>
        <v>-9.4187204844152248</v>
      </c>
      <c r="R300" s="31">
        <f>SUM($Q$36:Q300)</f>
        <v>-3081.9422078856101</v>
      </c>
      <c r="S300" s="83">
        <f>IF($L$2&lt;&gt;1,-(R300-$R$36)/B300*12/$Q$36,0)</f>
        <v>-0.18982977126802533</v>
      </c>
      <c r="T300" s="31">
        <f>SUMPRODUCT($Q$36:Q300,$E$36:E300)/E300-R300</f>
        <v>-3002.9106745139666</v>
      </c>
      <c r="U300" s="31">
        <f t="shared" si="50"/>
        <v>3963.6341525699645</v>
      </c>
      <c r="V300" s="31">
        <f t="shared" si="51"/>
        <v>4559.0341525699641</v>
      </c>
      <c r="W300" s="80" cm="1">
        <f t="array" ref="W300">IF($L$2&lt;&gt;1,IRR(IF(ROW($Q$36:Q300)=ROW(Q300),Q300+L300-K300,$Q$36:Q300),W299/12)*12,0)</f>
        <v>5.7181339863211278E-2</v>
      </c>
      <c r="X300" s="83">
        <f>(1+W300/12)^(B300)-1</f>
        <v>2.5078444581905397</v>
      </c>
    </row>
    <row r="301" spans="2:24" x14ac:dyDescent="0.25">
      <c r="B301" s="33">
        <v>265</v>
      </c>
      <c r="C301" s="81">
        <f t="shared" si="47"/>
        <v>22.083333333333332</v>
      </c>
      <c r="D301" s="105">
        <f t="shared" si="48"/>
        <v>3.9789301544717048E-3</v>
      </c>
      <c r="E301" s="106">
        <f t="shared" si="52"/>
        <v>0.34912532840570987</v>
      </c>
      <c r="F301" s="60">
        <f>rate</f>
        <v>3.2737397821989145E-3</v>
      </c>
      <c r="G301" s="31">
        <f>IF(AND(B300&gt;=gracia,12*años+gracia-B300&gt;0,$L$2&lt;&gt;1),PMT(F300,12*años-B300+gracia,-K300),0)</f>
        <v>19.168720484415225</v>
      </c>
      <c r="H301" s="31">
        <f>IF(AND(12*años+gracia-B300&gt;0,$L$2&lt;&gt;1),K300*F301,0)</f>
        <v>5.1623241840322001</v>
      </c>
      <c r="I301" s="31">
        <f>IF(AND(12*años+gracia-B300&gt;0,$L$2&lt;&gt;1),G301-H301,0)</f>
        <v>14.006396300383024</v>
      </c>
      <c r="J301" s="62"/>
      <c r="K301" s="61">
        <f t="shared" si="53"/>
        <v>1562.8825831177537</v>
      </c>
      <c r="L301" s="61">
        <f>L300*(1+$J$17)^(1/12)</f>
        <v>8643.7306655041793</v>
      </c>
      <c r="M301" s="31">
        <f t="shared" si="54"/>
        <v>12</v>
      </c>
      <c r="N301" s="31">
        <f t="shared" si="55"/>
        <v>0</v>
      </c>
      <c r="O301" s="31">
        <f t="shared" si="56"/>
        <v>-2.25</v>
      </c>
      <c r="P301" s="62"/>
      <c r="Q301" s="31">
        <f t="shared" si="49"/>
        <v>-9.4187204844152248</v>
      </c>
      <c r="R301" s="31">
        <f>SUM($Q$36:Q301)</f>
        <v>-3091.3609283700252</v>
      </c>
      <c r="S301" s="83">
        <f>IF($L$2&lt;&gt;1,-(R301-$R$36)/B301*12/$Q$36,0)</f>
        <v>-0.18982977126802533</v>
      </c>
      <c r="T301" s="31">
        <f>SUMPRODUCT($Q$36:Q301,$E$36:E301)/E301-R301</f>
        <v>-3027.1218791332703</v>
      </c>
      <c r="U301" s="31">
        <f t="shared" si="50"/>
        <v>3989.4871540164004</v>
      </c>
      <c r="V301" s="31">
        <f t="shared" si="51"/>
        <v>4584.8871540164</v>
      </c>
      <c r="W301" s="80" cm="1">
        <f t="array" ref="W301">IF($L$2&lt;&gt;1,IRR(IF(ROW($Q$36:Q301)=ROW(Q301),Q301+L301-K301,$Q$36:Q301),W300/12)*12,0)</f>
        <v>5.711235113495583E-2</v>
      </c>
      <c r="X301" s="83">
        <f>(1+W301/12)^(B301)-1</f>
        <v>2.5192195582057413</v>
      </c>
    </row>
    <row r="302" spans="2:24" x14ac:dyDescent="0.25">
      <c r="B302" s="33">
        <v>266</v>
      </c>
      <c r="C302" s="81">
        <f t="shared" si="47"/>
        <v>22.166666666666668</v>
      </c>
      <c r="D302" s="105">
        <f t="shared" si="48"/>
        <v>3.9789301544717048E-3</v>
      </c>
      <c r="E302" s="106">
        <f t="shared" si="52"/>
        <v>0.3477416885153094</v>
      </c>
      <c r="F302" s="60">
        <f>rate</f>
        <v>3.2737397821989145E-3</v>
      </c>
      <c r="G302" s="31">
        <f>IF(AND(B301&gt;=gracia,12*años+gracia-B301&gt;0,$L$2&lt;&gt;1),PMT(F301,12*años-B301+gracia,-K301),0)</f>
        <v>19.168720484415221</v>
      </c>
      <c r="H302" s="31">
        <f>IF(AND(12*años+gracia-B301&gt;0,$L$2&lt;&gt;1),K301*F302,0)</f>
        <v>5.1164708872583917</v>
      </c>
      <c r="I302" s="31">
        <f>IF(AND(12*años+gracia-B301&gt;0,$L$2&lt;&gt;1),G302-H302,0)</f>
        <v>14.05224959715683</v>
      </c>
      <c r="J302" s="62"/>
      <c r="K302" s="61">
        <f t="shared" si="53"/>
        <v>1548.8303335205969</v>
      </c>
      <c r="L302" s="61">
        <f>L301*(1+$J$17)^(1/12)</f>
        <v>8665.048437164447</v>
      </c>
      <c r="M302" s="31">
        <f t="shared" si="54"/>
        <v>12</v>
      </c>
      <c r="N302" s="31">
        <f t="shared" si="55"/>
        <v>0</v>
      </c>
      <c r="O302" s="31">
        <f t="shared" si="56"/>
        <v>-2.25</v>
      </c>
      <c r="P302" s="62"/>
      <c r="Q302" s="31">
        <f t="shared" si="49"/>
        <v>-9.4187204844152213</v>
      </c>
      <c r="R302" s="31">
        <f>SUM($Q$36:Q302)</f>
        <v>-3100.7796488544404</v>
      </c>
      <c r="S302" s="83">
        <f>IF($L$2&lt;&gt;1,-(R302-$R$36)/B302*12/$Q$36,0)</f>
        <v>-0.18982977126802533</v>
      </c>
      <c r="T302" s="31">
        <f>SUMPRODUCT($Q$36:Q302,$E$36:E302)/E302-R302</f>
        <v>-3051.4668948756621</v>
      </c>
      <c r="U302" s="31">
        <f t="shared" si="50"/>
        <v>4015.4384547894097</v>
      </c>
      <c r="V302" s="31">
        <f t="shared" si="51"/>
        <v>4610.8384547894093</v>
      </c>
      <c r="W302" s="80" cm="1">
        <f t="array" ref="W302">IF($L$2&lt;&gt;1,IRR(IF(ROW($Q$36:Q302)=ROW(Q302),Q302+L302-K302,$Q$36:Q302),W301/12)*12,0)</f>
        <v>5.7043703736992413E-2</v>
      </c>
      <c r="X302" s="83">
        <f>(1+W302/12)^(B302)-1</f>
        <v>2.5306176979280504</v>
      </c>
    </row>
    <row r="303" spans="2:24" x14ac:dyDescent="0.25">
      <c r="B303" s="33">
        <v>267</v>
      </c>
      <c r="C303" s="81">
        <f t="shared" si="47"/>
        <v>22.25</v>
      </c>
      <c r="D303" s="105">
        <f t="shared" si="48"/>
        <v>3.9789301544717048E-3</v>
      </c>
      <c r="E303" s="106">
        <f t="shared" si="52"/>
        <v>0.34636353221257943</v>
      </c>
      <c r="F303" s="60">
        <f>rate</f>
        <v>3.2737397821989145E-3</v>
      </c>
      <c r="G303" s="31">
        <f>IF(AND(B302&gt;=gracia,12*años+gracia-B302&gt;0,$L$2&lt;&gt;1),PMT(F302,12*años-B302+gracia,-K302),0)</f>
        <v>19.168720484415221</v>
      </c>
      <c r="H303" s="31">
        <f>IF(AND(12*años+gracia-B302&gt;0,$L$2&lt;&gt;1),K302*F303,0)</f>
        <v>5.070467478722791</v>
      </c>
      <c r="I303" s="31">
        <f>IF(AND(12*años+gracia-B302&gt;0,$L$2&lt;&gt;1),G303-H303,0)</f>
        <v>14.098253005692431</v>
      </c>
      <c r="J303" s="62"/>
      <c r="K303" s="61">
        <f t="shared" si="53"/>
        <v>1534.7320805149045</v>
      </c>
      <c r="L303" s="61">
        <f>L302*(1+$J$17)^(1/12)</f>
        <v>8686.4187842005722</v>
      </c>
      <c r="M303" s="31">
        <f t="shared" si="54"/>
        <v>12</v>
      </c>
      <c r="N303" s="31">
        <f t="shared" si="55"/>
        <v>0</v>
      </c>
      <c r="O303" s="31">
        <f t="shared" si="56"/>
        <v>-2.25</v>
      </c>
      <c r="P303" s="62"/>
      <c r="Q303" s="31">
        <f t="shared" si="49"/>
        <v>-9.4187204844152213</v>
      </c>
      <c r="R303" s="31">
        <f>SUM($Q$36:Q303)</f>
        <v>-3110.1983693388556</v>
      </c>
      <c r="S303" s="83">
        <f>IF($L$2&lt;&gt;1,-(R303-$R$36)/B303*12/$Q$36,0)</f>
        <v>-0.18982977126802533</v>
      </c>
      <c r="T303" s="31">
        <f>SUMPRODUCT($Q$36:Q303,$E$36:E303)/E303-R303</f>
        <v>-3075.9462541662551</v>
      </c>
      <c r="U303" s="31">
        <f t="shared" si="50"/>
        <v>4041.4883343468118</v>
      </c>
      <c r="V303" s="31">
        <f t="shared" si="51"/>
        <v>4636.8883343468115</v>
      </c>
      <c r="W303" s="80" cm="1">
        <f t="array" ref="W303">IF($L$2&lt;&gt;1,IRR(IF(ROW($Q$36:Q303)=ROW(Q303),Q303+L303-K303,$Q$36:Q303),W302/12)*12,0)</f>
        <v>5.6975395470741041E-2</v>
      </c>
      <c r="X303" s="83">
        <f>(1+W303/12)^(B303)-1</f>
        <v>2.5420389909063661</v>
      </c>
    </row>
    <row r="304" spans="2:24" x14ac:dyDescent="0.25">
      <c r="B304" s="33">
        <v>268</v>
      </c>
      <c r="C304" s="81">
        <f t="shared" si="47"/>
        <v>22.333333333333332</v>
      </c>
      <c r="D304" s="105">
        <f t="shared" si="48"/>
        <v>3.9789301544717048E-3</v>
      </c>
      <c r="E304" s="106">
        <f t="shared" si="52"/>
        <v>0.34499083776517908</v>
      </c>
      <c r="F304" s="60">
        <f>rate</f>
        <v>3.2737397821989145E-3</v>
      </c>
      <c r="G304" s="31">
        <f>IF(AND(B303&gt;=gracia,12*años+gracia-B303&gt;0,$L$2&lt;&gt;1),PMT(F303,12*años-B303+gracia,-K303),0)</f>
        <v>19.168720484415225</v>
      </c>
      <c r="H304" s="31">
        <f>IF(AND(12*años+gracia-B303&gt;0,$L$2&lt;&gt;1),K303*F304,0)</f>
        <v>5.0243134669985503</v>
      </c>
      <c r="I304" s="31">
        <f>IF(AND(12*años+gracia-B303&gt;0,$L$2&lt;&gt;1),G304-H304,0)</f>
        <v>14.144407017416675</v>
      </c>
      <c r="J304" s="62"/>
      <c r="K304" s="61">
        <f t="shared" si="53"/>
        <v>1520.5876734974879</v>
      </c>
      <c r="L304" s="61">
        <f>L303*(1+$J$17)^(1/12)</f>
        <v>8707.8418362776174</v>
      </c>
      <c r="M304" s="31">
        <f t="shared" si="54"/>
        <v>12</v>
      </c>
      <c r="N304" s="31">
        <f t="shared" si="55"/>
        <v>0</v>
      </c>
      <c r="O304" s="31">
        <f t="shared" si="56"/>
        <v>-2.25</v>
      </c>
      <c r="P304" s="62"/>
      <c r="Q304" s="31">
        <f t="shared" si="49"/>
        <v>-9.4187204844152248</v>
      </c>
      <c r="R304" s="31">
        <f>SUM($Q$36:Q304)</f>
        <v>-3119.6170898232708</v>
      </c>
      <c r="S304" s="83">
        <f>IF($L$2&lt;&gt;1,-(R304-$R$36)/B304*12/$Q$36,0)</f>
        <v>-0.18982977126802533</v>
      </c>
      <c r="T304" s="31">
        <f>SUMPRODUCT($Q$36:Q304,$E$36:E304)/E304-R304</f>
        <v>-3100.5604915486424</v>
      </c>
      <c r="U304" s="31">
        <f t="shared" si="50"/>
        <v>4067.6370729568589</v>
      </c>
      <c r="V304" s="31">
        <f t="shared" si="51"/>
        <v>4663.0370729568585</v>
      </c>
      <c r="W304" s="80" cm="1">
        <f t="array" ref="W304">IF($L$2&lt;&gt;1,IRR(IF(ROW($Q$36:Q304)=ROW(Q304),Q304+L304-K304,$Q$36:Q304),W303/12)*12,0)</f>
        <v>5.6907424151786401E-2</v>
      </c>
      <c r="X304" s="83">
        <f>(1+W304/12)^(B304)-1</f>
        <v>2.5534835505577838</v>
      </c>
    </row>
    <row r="305" spans="2:24" x14ac:dyDescent="0.25">
      <c r="B305" s="33">
        <v>269</v>
      </c>
      <c r="C305" s="81">
        <f t="shared" si="47"/>
        <v>22.416666666666668</v>
      </c>
      <c r="D305" s="105">
        <f t="shared" si="48"/>
        <v>3.9789301544717048E-3</v>
      </c>
      <c r="E305" s="106">
        <f t="shared" si="52"/>
        <v>0.34362358352689631</v>
      </c>
      <c r="F305" s="60">
        <f>rate</f>
        <v>3.2737397821989145E-3</v>
      </c>
      <c r="G305" s="31">
        <f>IF(AND(B304&gt;=gracia,12*años+gracia-B304&gt;0,$L$2&lt;&gt;1),PMT(F304,12*años-B304+gracia,-K304),0)</f>
        <v>19.168720484415221</v>
      </c>
      <c r="H305" s="31">
        <f>IF(AND(12*años+gracia-B304&gt;0,$L$2&lt;&gt;1),K304*F305,0)</f>
        <v>4.9780083590500199</v>
      </c>
      <c r="I305" s="31">
        <f>IF(AND(12*años+gracia-B304&gt;0,$L$2&lt;&gt;1),G305-H305,0)</f>
        <v>14.190712125365202</v>
      </c>
      <c r="J305" s="62"/>
      <c r="K305" s="61">
        <f t="shared" si="53"/>
        <v>1506.3969613721226</v>
      </c>
      <c r="L305" s="61">
        <f>L304*(1+$J$17)^(1/12)</f>
        <v>8729.3177233804308</v>
      </c>
      <c r="M305" s="31">
        <f t="shared" si="54"/>
        <v>12</v>
      </c>
      <c r="N305" s="31">
        <f t="shared" si="55"/>
        <v>0</v>
      </c>
      <c r="O305" s="31">
        <f t="shared" si="56"/>
        <v>-2.25</v>
      </c>
      <c r="P305" s="62"/>
      <c r="Q305" s="31">
        <f t="shared" si="49"/>
        <v>-9.4187204844152213</v>
      </c>
      <c r="R305" s="31">
        <f>SUM($Q$36:Q305)</f>
        <v>-3129.035810307686</v>
      </c>
      <c r="S305" s="83">
        <f>IF($L$2&lt;&gt;1,-(R305-$R$36)/B305*12/$Q$36,0)</f>
        <v>-0.18982977126802533</v>
      </c>
      <c r="T305" s="31">
        <f>SUMPRODUCT($Q$36:Q305,$E$36:E305)/E305-R305</f>
        <v>-3125.3101436933312</v>
      </c>
      <c r="U305" s="31">
        <f t="shared" si="50"/>
        <v>4093.884951700622</v>
      </c>
      <c r="V305" s="31">
        <f t="shared" si="51"/>
        <v>4689.2849517006216</v>
      </c>
      <c r="W305" s="80" cm="1">
        <f t="array" ref="W305">IF($L$2&lt;&gt;1,IRR(IF(ROW($Q$36:Q305)=ROW(Q305),Q305+L305-K305,$Q$36:Q305),W304/12)*12,0)</f>
        <v>5.6839787609901826E-2</v>
      </c>
      <c r="X305" s="83">
        <f>(1+W305/12)^(B305)-1</f>
        <v>2.564951490174685</v>
      </c>
    </row>
    <row r="306" spans="2:24" x14ac:dyDescent="0.25">
      <c r="B306" s="33">
        <v>270</v>
      </c>
      <c r="C306" s="81">
        <f t="shared" si="47"/>
        <v>22.5</v>
      </c>
      <c r="D306" s="105">
        <f t="shared" si="48"/>
        <v>3.9789301544717048E-3</v>
      </c>
      <c r="E306" s="106">
        <f t="shared" si="52"/>
        <v>0.34226174793730635</v>
      </c>
      <c r="F306" s="60">
        <f>rate</f>
        <v>3.2737397821989145E-3</v>
      </c>
      <c r="G306" s="31">
        <f>IF(AND(B305&gt;=gracia,12*años+gracia-B305&gt;0,$L$2&lt;&gt;1),PMT(F305,12*años-B305+gracia,-K305),0)</f>
        <v>19.168720484415221</v>
      </c>
      <c r="H306" s="31">
        <f>IF(AND(12*años+gracia-B305&gt;0,$L$2&lt;&gt;1),K305*F306,0)</f>
        <v>4.9315516602274796</v>
      </c>
      <c r="I306" s="31">
        <f>IF(AND(12*años+gracia-B305&gt;0,$L$2&lt;&gt;1),G306-H306,0)</f>
        <v>14.237168824187741</v>
      </c>
      <c r="J306" s="62"/>
      <c r="K306" s="61">
        <f t="shared" si="53"/>
        <v>1492.1597925479348</v>
      </c>
      <c r="L306" s="61">
        <f>L305*(1+$J$17)^(1/12)</f>
        <v>8750.8465758144393</v>
      </c>
      <c r="M306" s="31">
        <f t="shared" si="54"/>
        <v>12</v>
      </c>
      <c r="N306" s="31">
        <f t="shared" si="55"/>
        <v>0</v>
      </c>
      <c r="O306" s="31">
        <f t="shared" si="56"/>
        <v>-2.25</v>
      </c>
      <c r="P306" s="62"/>
      <c r="Q306" s="31">
        <f t="shared" si="49"/>
        <v>-9.4187204844152213</v>
      </c>
      <c r="R306" s="31">
        <f>SUM($Q$36:Q306)</f>
        <v>-3138.4545307921012</v>
      </c>
      <c r="S306" s="83">
        <f>IF($L$2&lt;&gt;1,-(R306-$R$36)/B306*12/$Q$36,0)</f>
        <v>-0.18982977126802533</v>
      </c>
      <c r="T306" s="31">
        <f>SUMPRODUCT($Q$36:Q306,$E$36:E306)/E306-R306</f>
        <v>-3150.1957494062049</v>
      </c>
      <c r="U306" s="31">
        <f t="shared" si="50"/>
        <v>4120.2322524744031</v>
      </c>
      <c r="V306" s="31">
        <f t="shared" si="51"/>
        <v>4715.6322524744028</v>
      </c>
      <c r="W306" s="80" cm="1">
        <f t="array" ref="W306">IF($L$2&lt;&gt;1,IRR(IF(ROW($Q$36:Q306)=ROW(Q306),Q306+L306-K306,$Q$36:Q306),W305/12)*12,0)</f>
        <v>5.6772483689027986E-2</v>
      </c>
      <c r="X306" s="83">
        <f>(1+W306/12)^(B306)-1</f>
        <v>2.5764429229275914</v>
      </c>
    </row>
    <row r="307" spans="2:24" x14ac:dyDescent="0.25">
      <c r="B307" s="33">
        <v>271</v>
      </c>
      <c r="C307" s="81">
        <f t="shared" si="47"/>
        <v>22.583333333333332</v>
      </c>
      <c r="D307" s="105">
        <f t="shared" si="48"/>
        <v>3.9789301544717048E-3</v>
      </c>
      <c r="E307" s="106">
        <f t="shared" si="52"/>
        <v>0.340905309521432</v>
      </c>
      <c r="F307" s="60">
        <f>rate</f>
        <v>3.2737397821989145E-3</v>
      </c>
      <c r="G307" s="31">
        <f>IF(AND(B306&gt;=gracia,12*años+gracia-B306&gt;0,$L$2&lt;&gt;1),PMT(F306,12*años-B306+gracia,-K306),0)</f>
        <v>19.168720484415221</v>
      </c>
      <c r="H307" s="31">
        <f>IF(AND(12*años+gracia-B306&gt;0,$L$2&lt;&gt;1),K306*F307,0)</f>
        <v>4.8849428742618537</v>
      </c>
      <c r="I307" s="31">
        <f>IF(AND(12*años+gracia-B306&gt;0,$L$2&lt;&gt;1),G307-H307,0)</f>
        <v>14.283777610153368</v>
      </c>
      <c r="J307" s="62"/>
      <c r="K307" s="61">
        <f t="shared" si="53"/>
        <v>1477.8760149377815</v>
      </c>
      <c r="L307" s="61">
        <f>L306*(1+$J$17)^(1/12)</f>
        <v>8772.4285242064379</v>
      </c>
      <c r="M307" s="31">
        <f t="shared" si="54"/>
        <v>12</v>
      </c>
      <c r="N307" s="31">
        <f t="shared" si="55"/>
        <v>0</v>
      </c>
      <c r="O307" s="31">
        <f t="shared" si="56"/>
        <v>-2.25</v>
      </c>
      <c r="P307" s="62"/>
      <c r="Q307" s="31">
        <f t="shared" si="49"/>
        <v>-9.4187204844152213</v>
      </c>
      <c r="R307" s="31">
        <f>SUM($Q$36:Q307)</f>
        <v>-3147.8732512765164</v>
      </c>
      <c r="S307" s="83">
        <f>IF($L$2&lt;&gt;1,-(R307-$R$36)/B307*12/$Q$36,0)</f>
        <v>-0.18982977126802533</v>
      </c>
      <c r="T307" s="31">
        <f>SUMPRODUCT($Q$36:Q307,$E$36:E307)/E307-R307</f>
        <v>-3175.2178496370134</v>
      </c>
      <c r="U307" s="31">
        <f t="shared" si="50"/>
        <v>4146.6792579921403</v>
      </c>
      <c r="V307" s="31">
        <f t="shared" si="51"/>
        <v>4742.0792579921399</v>
      </c>
      <c r="W307" s="80" cm="1">
        <f t="array" ref="W307">IF($L$2&lt;&gt;1,IRR(IF(ROW($Q$36:Q307)=ROW(Q307),Q307+L307-K307,$Q$36:Q307),W306/12)*12,0)</f>
        <v>5.6705510247278212E-2</v>
      </c>
      <c r="X307" s="83">
        <f>(1+W307/12)^(B307)-1</f>
        <v>2.5879579618717452</v>
      </c>
    </row>
    <row r="308" spans="2:24" x14ac:dyDescent="0.25">
      <c r="B308" s="33">
        <v>272</v>
      </c>
      <c r="C308" s="81">
        <f t="shared" si="47"/>
        <v>22.666666666666668</v>
      </c>
      <c r="D308" s="105">
        <f t="shared" si="48"/>
        <v>3.9789301544717048E-3</v>
      </c>
      <c r="E308" s="106">
        <f t="shared" si="52"/>
        <v>0.33955424688940483</v>
      </c>
      <c r="F308" s="60">
        <f>rate</f>
        <v>3.2737397821989145E-3</v>
      </c>
      <c r="G308" s="31">
        <f>IF(AND(B307&gt;=gracia,12*años+gracia-B307&gt;0,$L$2&lt;&gt;1),PMT(F307,12*años-B307+gracia,-K307),0)</f>
        <v>19.168720484415221</v>
      </c>
      <c r="H308" s="31">
        <f>IF(AND(12*años+gracia-B307&gt;0,$L$2&lt;&gt;1),K307*F308,0)</f>
        <v>4.8381815032594124</v>
      </c>
      <c r="I308" s="31">
        <f>IF(AND(12*años+gracia-B307&gt;0,$L$2&lt;&gt;1),G308-H308,0)</f>
        <v>14.330538981155808</v>
      </c>
      <c r="J308" s="62"/>
      <c r="K308" s="61">
        <f t="shared" si="53"/>
        <v>1463.5454759566258</v>
      </c>
      <c r="L308" s="61">
        <f>L307*(1+$J$17)^(1/12)</f>
        <v>8794.0636995053828</v>
      </c>
      <c r="M308" s="31">
        <f t="shared" si="54"/>
        <v>12</v>
      </c>
      <c r="N308" s="31">
        <f t="shared" si="55"/>
        <v>0</v>
      </c>
      <c r="O308" s="31">
        <f t="shared" si="56"/>
        <v>-2.25</v>
      </c>
      <c r="P308" s="62"/>
      <c r="Q308" s="31">
        <f t="shared" si="49"/>
        <v>-9.4187204844152213</v>
      </c>
      <c r="R308" s="31">
        <f>SUM($Q$36:Q308)</f>
        <v>-3157.2919717609316</v>
      </c>
      <c r="S308" s="83">
        <f>IF($L$2&lt;&gt;1,-(R308-$R$36)/B308*12/$Q$36,0)</f>
        <v>-0.18982977126802533</v>
      </c>
      <c r="T308" s="31">
        <f>SUMPRODUCT($Q$36:Q308,$E$36:E308)/E308-R308</f>
        <v>-3200.3769874879104</v>
      </c>
      <c r="U308" s="31">
        <f t="shared" si="50"/>
        <v>4173.2262517878253</v>
      </c>
      <c r="V308" s="31">
        <f t="shared" si="51"/>
        <v>4768.6262517878249</v>
      </c>
      <c r="W308" s="80" cm="1">
        <f t="array" ref="W308">IF($L$2&lt;&gt;1,IRR(IF(ROW($Q$36:Q308)=ROW(Q308),Q308+L308-K308,$Q$36:Q308),W307/12)*12,0)</f>
        <v>5.6638865156925178E-2</v>
      </c>
      <c r="X308" s="83">
        <f>(1+W308/12)^(B308)-1</f>
        <v>2.5994967199510346</v>
      </c>
    </row>
    <row r="309" spans="2:24" x14ac:dyDescent="0.25">
      <c r="B309" s="33">
        <v>273</v>
      </c>
      <c r="C309" s="81">
        <f t="shared" si="47"/>
        <v>22.75</v>
      </c>
      <c r="D309" s="105">
        <f t="shared" si="48"/>
        <v>3.9789301544717048E-3</v>
      </c>
      <c r="E309" s="106">
        <f t="shared" si="52"/>
        <v>0.33820853873612783</v>
      </c>
      <c r="F309" s="60">
        <f>rate</f>
        <v>3.2737397821989145E-3</v>
      </c>
      <c r="G309" s="31">
        <f>IF(AND(B308&gt;=gracia,12*años+gracia-B308&gt;0,$L$2&lt;&gt;1),PMT(F308,12*años-B308+gracia,-K308),0)</f>
        <v>19.168720484415221</v>
      </c>
      <c r="H309" s="31">
        <f>IF(AND(12*años+gracia-B308&gt;0,$L$2&lt;&gt;1),K308*F309,0)</f>
        <v>4.7912670476964507</v>
      </c>
      <c r="I309" s="31">
        <f>IF(AND(12*años+gracia-B308&gt;0,$L$2&lt;&gt;1),G309-H309,0)</f>
        <v>14.377453436718771</v>
      </c>
      <c r="J309" s="62"/>
      <c r="K309" s="61">
        <f t="shared" si="53"/>
        <v>1449.168022519907</v>
      </c>
      <c r="L309" s="61">
        <f>L308*(1+$J$17)^(1/12)</f>
        <v>8815.7522329831863</v>
      </c>
      <c r="M309" s="31">
        <f t="shared" si="54"/>
        <v>12</v>
      </c>
      <c r="N309" s="31">
        <f t="shared" si="55"/>
        <v>0</v>
      </c>
      <c r="O309" s="31">
        <f t="shared" si="56"/>
        <v>-2.25</v>
      </c>
      <c r="P309" s="62"/>
      <c r="Q309" s="31">
        <f t="shared" si="49"/>
        <v>-9.4187204844152213</v>
      </c>
      <c r="R309" s="31">
        <f>SUM($Q$36:Q309)</f>
        <v>-3166.7106922453468</v>
      </c>
      <c r="S309" s="83">
        <f>IF($L$2&lt;&gt;1,-(R309-$R$36)/B309*12/$Q$36,0)</f>
        <v>-0.18982977126802533</v>
      </c>
      <c r="T309" s="31">
        <f>SUMPRODUCT($Q$36:Q309,$E$36:E309)/E309-R309</f>
        <v>-3225.6737082220152</v>
      </c>
      <c r="U309" s="31">
        <f t="shared" si="50"/>
        <v>4199.8735182179325</v>
      </c>
      <c r="V309" s="31">
        <f t="shared" si="51"/>
        <v>4795.2735182179322</v>
      </c>
      <c r="W309" s="80" cm="1">
        <f t="array" ref="W309">IF($L$2&lt;&gt;1,IRR(IF(ROW($Q$36:Q309)=ROW(Q309),Q309+L309-K309,$Q$36:Q309),W308/12)*12,0)</f>
        <v>5.657254630439823E-2</v>
      </c>
      <c r="X309" s="83">
        <f>(1+W309/12)^(B309)-1</f>
        <v>2.6110593100037129</v>
      </c>
    </row>
    <row r="310" spans="2:24" x14ac:dyDescent="0.25">
      <c r="B310" s="33">
        <v>274</v>
      </c>
      <c r="C310" s="81">
        <f t="shared" si="47"/>
        <v>22.833333333333332</v>
      </c>
      <c r="D310" s="105">
        <f t="shared" si="48"/>
        <v>3.9789301544717048E-3</v>
      </c>
      <c r="E310" s="106">
        <f t="shared" si="52"/>
        <v>0.33686816384093959</v>
      </c>
      <c r="F310" s="60">
        <f>rate</f>
        <v>3.2737397821989145E-3</v>
      </c>
      <c r="G310" s="31">
        <f>IF(AND(B309&gt;=gracia,12*años+gracia-B309&gt;0,$L$2&lt;&gt;1),PMT(F309,12*años-B309+gracia,-K309),0)</f>
        <v>19.168720484415225</v>
      </c>
      <c r="H310" s="31">
        <f>IF(AND(12*años+gracia-B309&gt;0,$L$2&lt;&gt;1),K309*F310,0)</f>
        <v>4.7441990064139521</v>
      </c>
      <c r="I310" s="31">
        <f>IF(AND(12*años+gracia-B309&gt;0,$L$2&lt;&gt;1),G310-H310,0)</f>
        <v>14.424521478001273</v>
      </c>
      <c r="J310" s="62"/>
      <c r="K310" s="61">
        <f t="shared" si="53"/>
        <v>1434.7435010419058</v>
      </c>
      <c r="L310" s="61">
        <f>L309*(1+$J$17)^(1/12)</f>
        <v>8837.4942562355118</v>
      </c>
      <c r="M310" s="31">
        <f t="shared" si="54"/>
        <v>12</v>
      </c>
      <c r="N310" s="31">
        <f t="shared" si="55"/>
        <v>0</v>
      </c>
      <c r="O310" s="31">
        <f t="shared" si="56"/>
        <v>-2.25</v>
      </c>
      <c r="P310" s="62"/>
      <c r="Q310" s="31">
        <f t="shared" si="49"/>
        <v>-9.4187204844152248</v>
      </c>
      <c r="R310" s="31">
        <f>SUM($Q$36:Q310)</f>
        <v>-3176.129412729762</v>
      </c>
      <c r="S310" s="83">
        <f>IF($L$2&lt;&gt;1,-(R310-$R$36)/B310*12/$Q$36,0)</f>
        <v>-0.18982977126802533</v>
      </c>
      <c r="T310" s="31">
        <f>SUMPRODUCT($Q$36:Q310,$E$36:E310)/E310-R310</f>
        <v>-3251.1085592720087</v>
      </c>
      <c r="U310" s="31">
        <f t="shared" si="50"/>
        <v>4226.6213424638445</v>
      </c>
      <c r="V310" s="31">
        <f t="shared" si="51"/>
        <v>4822.0213424638441</v>
      </c>
      <c r="W310" s="80" cm="1">
        <f t="array" ref="W310">IF($L$2&lt;&gt;1,IRR(IF(ROW($Q$36:Q310)=ROW(Q310),Q310+L310-K310,$Q$36:Q310),W309/12)*12,0)</f>
        <v>5.650655159024609E-2</v>
      </c>
      <c r="X310" s="83">
        <f>(1+W310/12)^(B310)-1</f>
        <v>2.6226458447663523</v>
      </c>
    </row>
    <row r="311" spans="2:24" x14ac:dyDescent="0.25">
      <c r="B311" s="33">
        <v>275</v>
      </c>
      <c r="C311" s="81">
        <f t="shared" si="47"/>
        <v>22.916666666666668</v>
      </c>
      <c r="D311" s="105">
        <f t="shared" si="48"/>
        <v>3.9789301544717048E-3</v>
      </c>
      <c r="E311" s="106">
        <f t="shared" si="52"/>
        <v>0.33553310106727957</v>
      </c>
      <c r="F311" s="60">
        <f>rate</f>
        <v>3.2737397821989145E-3</v>
      </c>
      <c r="G311" s="31">
        <f>IF(AND(B310&gt;=gracia,12*años+gracia-B310&gt;0,$L$2&lt;&gt;1),PMT(F310,12*años-B310+gracia,-K310),0)</f>
        <v>19.168720484415225</v>
      </c>
      <c r="H311" s="31">
        <f>IF(AND(12*años+gracia-B310&gt;0,$L$2&lt;&gt;1),K310*F311,0)</f>
        <v>4.6969768766122364</v>
      </c>
      <c r="I311" s="31">
        <f>IF(AND(12*años+gracia-B310&gt;0,$L$2&lt;&gt;1),G311-H311,0)</f>
        <v>14.471743607802988</v>
      </c>
      <c r="J311" s="62"/>
      <c r="K311" s="61">
        <f t="shared" si="53"/>
        <v>1420.2717574341027</v>
      </c>
      <c r="L311" s="61">
        <f>L310*(1+$J$17)^(1/12)</f>
        <v>8859.2899011825721</v>
      </c>
      <c r="M311" s="31">
        <f t="shared" si="54"/>
        <v>12</v>
      </c>
      <c r="N311" s="31">
        <f t="shared" si="55"/>
        <v>0</v>
      </c>
      <c r="O311" s="31">
        <f t="shared" si="56"/>
        <v>-2.25</v>
      </c>
      <c r="P311" s="62"/>
      <c r="Q311" s="31">
        <f t="shared" si="49"/>
        <v>-9.4187204844152248</v>
      </c>
      <c r="R311" s="31">
        <f>SUM($Q$36:Q311)</f>
        <v>-3185.5481332141771</v>
      </c>
      <c r="S311" s="83">
        <f>IF($L$2&lt;&gt;1,-(R311-$R$36)/B311*12/$Q$36,0)</f>
        <v>-0.18982977126802533</v>
      </c>
      <c r="T311" s="31">
        <f>SUMPRODUCT($Q$36:Q311,$E$36:E311)/E311-R311</f>
        <v>-3276.6820902487725</v>
      </c>
      <c r="U311" s="31">
        <f t="shared" si="50"/>
        <v>4253.4700105342927</v>
      </c>
      <c r="V311" s="31">
        <f t="shared" si="51"/>
        <v>4848.8700105342923</v>
      </c>
      <c r="W311" s="80" cm="1">
        <f t="array" ref="W311">IF($L$2&lt;&gt;1,IRR(IF(ROW($Q$36:Q311)=ROW(Q311),Q311+L311-K311,$Q$36:Q311),W310/12)*12,0)</f>
        <v>5.6440878929128857E-2</v>
      </c>
      <c r="X311" s="83">
        <f>(1+W311/12)^(B311)-1</f>
        <v>2.6342564368789398</v>
      </c>
    </row>
    <row r="312" spans="2:24" x14ac:dyDescent="0.25">
      <c r="B312" s="33">
        <v>276</v>
      </c>
      <c r="C312" s="81">
        <f t="shared" si="47"/>
        <v>23</v>
      </c>
      <c r="D312" s="105">
        <f t="shared" si="48"/>
        <v>3.9789301544717048E-3</v>
      </c>
      <c r="E312" s="106">
        <f t="shared" si="52"/>
        <v>0.33420332936235486</v>
      </c>
      <c r="F312" s="60">
        <f>rate</f>
        <v>3.2737397821989145E-3</v>
      </c>
      <c r="G312" s="31">
        <f>IF(AND(B311&gt;=gracia,12*años+gracia-B311&gt;0,$L$2&lt;&gt;1),PMT(F311,12*años-B311+gracia,-K311),0)</f>
        <v>19.168720484415221</v>
      </c>
      <c r="H312" s="31">
        <f>IF(AND(12*años+gracia-B311&gt;0,$L$2&lt;&gt;1),K311*F312,0)</f>
        <v>4.6496001538455891</v>
      </c>
      <c r="I312" s="31">
        <f>IF(AND(12*años+gracia-B311&gt;0,$L$2&lt;&gt;1),G312-H312,0)</f>
        <v>14.519120330569631</v>
      </c>
      <c r="J312" s="62"/>
      <c r="K312" s="61">
        <f t="shared" si="53"/>
        <v>1405.7526371035331</v>
      </c>
      <c r="L312" s="61">
        <f>L311*(1+$J$17)^(1/12)</f>
        <v>8881.1393000699336</v>
      </c>
      <c r="M312" s="31">
        <f t="shared" si="54"/>
        <v>12</v>
      </c>
      <c r="N312" s="31">
        <f t="shared" si="55"/>
        <v>0</v>
      </c>
      <c r="O312" s="31">
        <f t="shared" si="56"/>
        <v>-2.25</v>
      </c>
      <c r="P312" s="62"/>
      <c r="Q312" s="31">
        <f t="shared" si="49"/>
        <v>-9.4187204844152213</v>
      </c>
      <c r="R312" s="31">
        <f>SUM($Q$36:Q312)</f>
        <v>-3194.9668536985923</v>
      </c>
      <c r="S312" s="83">
        <f>IF($L$2&lt;&gt;1,-(R312-$R$36)/B312*12/$Q$36,0)</f>
        <v>-0.18982977126802533</v>
      </c>
      <c r="T312" s="31">
        <f>SUMPRODUCT($Q$36:Q312,$E$36:E312)/E312-R312</f>
        <v>-3302.3948529500472</v>
      </c>
      <c r="U312" s="31">
        <f t="shared" si="50"/>
        <v>4280.419809267808</v>
      </c>
      <c r="V312" s="31">
        <f t="shared" si="51"/>
        <v>4875.8198092678076</v>
      </c>
      <c r="W312" s="80" cm="1">
        <f t="array" ref="W312">IF($L$2&lt;&gt;1,IRR(IF(ROW($Q$36:Q312)=ROW(Q312),Q312+L312-K312,$Q$36:Q312),W311/12)*12,0)</f>
        <v>5.6375526249791363E-2</v>
      </c>
      <c r="X312" s="83">
        <f>(1+W312/12)^(B312)-1</f>
        <v>2.6458911988893887</v>
      </c>
    </row>
    <row r="313" spans="2:24" x14ac:dyDescent="0.25">
      <c r="B313" s="33">
        <v>277</v>
      </c>
      <c r="C313" s="81">
        <f t="shared" si="47"/>
        <v>23.083333333333332</v>
      </c>
      <c r="D313" s="105">
        <f t="shared" si="48"/>
        <v>3.9789301544717048E-3</v>
      </c>
      <c r="E313" s="106">
        <f t="shared" si="52"/>
        <v>0.3328788277568081</v>
      </c>
      <c r="F313" s="60">
        <f>rate</f>
        <v>3.2737397821989145E-3</v>
      </c>
      <c r="G313" s="31">
        <f>IF(AND(B312&gt;=gracia,12*años+gracia-B312&gt;0,$L$2&lt;&gt;1),PMT(F312,12*años-B312+gracia,-K312),0)</f>
        <v>19.168720484415225</v>
      </c>
      <c r="H313" s="31">
        <f>IF(AND(12*años+gracia-B312&gt;0,$L$2&lt;&gt;1),K312*F313,0)</f>
        <v>4.60206833201687</v>
      </c>
      <c r="I313" s="31">
        <f>IF(AND(12*años+gracia-B312&gt;0,$L$2&lt;&gt;1),G313-H313,0)</f>
        <v>14.566652152398355</v>
      </c>
      <c r="J313" s="62"/>
      <c r="K313" s="61">
        <f t="shared" si="53"/>
        <v>1391.1859849511347</v>
      </c>
      <c r="L313" s="61">
        <f>L312*(1+$J$17)^(1/12)</f>
        <v>8903.0425854693149</v>
      </c>
      <c r="M313" s="31">
        <f t="shared" si="54"/>
        <v>12</v>
      </c>
      <c r="N313" s="31">
        <f t="shared" si="55"/>
        <v>0</v>
      </c>
      <c r="O313" s="31">
        <f t="shared" si="56"/>
        <v>-2.25</v>
      </c>
      <c r="P313" s="62"/>
      <c r="Q313" s="31">
        <f t="shared" si="49"/>
        <v>-9.4187204844152248</v>
      </c>
      <c r="R313" s="31">
        <f>SUM($Q$36:Q313)</f>
        <v>-3204.3855741830075</v>
      </c>
      <c r="S313" s="83">
        <f>IF($L$2&lt;&gt;1,-(R313-$R$36)/B313*12/$Q$36,0)</f>
        <v>-0.18982977126802533</v>
      </c>
      <c r="T313" s="31">
        <f>SUMPRODUCT($Q$36:Q313,$E$36:E313)/E313-R313</f>
        <v>-3328.2474013691417</v>
      </c>
      <c r="U313" s="31">
        <f t="shared" si="50"/>
        <v>4307.4710263351726</v>
      </c>
      <c r="V313" s="31">
        <f t="shared" si="51"/>
        <v>4902.8710263351722</v>
      </c>
      <c r="W313" s="80" cm="1">
        <f t="array" ref="W313">IF($L$2&lt;&gt;1,IRR(IF(ROW($Q$36:Q313)=ROW(Q313),Q313+L313-K313,$Q$36:Q313),W312/12)*12,0)</f>
        <v>5.6310491495033865E-2</v>
      </c>
      <c r="X313" s="83">
        <f>(1+W313/12)^(B313)-1</f>
        <v>2.6575502432586022</v>
      </c>
    </row>
    <row r="314" spans="2:24" x14ac:dyDescent="0.25">
      <c r="B314" s="33">
        <v>278</v>
      </c>
      <c r="C314" s="81">
        <f t="shared" si="47"/>
        <v>23.166666666666668</v>
      </c>
      <c r="D314" s="105">
        <f t="shared" si="48"/>
        <v>3.9789301544717048E-3</v>
      </c>
      <c r="E314" s="106">
        <f t="shared" si="52"/>
        <v>0.3315595753643869</v>
      </c>
      <c r="F314" s="60">
        <f>rate</f>
        <v>3.2737397821989145E-3</v>
      </c>
      <c r="G314" s="31">
        <f>IF(AND(B313&gt;=gracia,12*años+gracia-B313&gt;0,$L$2&lt;&gt;1),PMT(F313,12*años-B313+gracia,-K313),0)</f>
        <v>19.168720484415225</v>
      </c>
      <c r="H314" s="31">
        <f>IF(AND(12*años+gracia-B313&gt;0,$L$2&lt;&gt;1),K313*F314,0)</f>
        <v>4.5543809033721105</v>
      </c>
      <c r="I314" s="31">
        <f>IF(AND(12*años+gracia-B313&gt;0,$L$2&lt;&gt;1),G314-H314,0)</f>
        <v>14.614339581043115</v>
      </c>
      <c r="J314" s="62"/>
      <c r="K314" s="61">
        <f t="shared" si="53"/>
        <v>1376.5716453700916</v>
      </c>
      <c r="L314" s="61">
        <f>L313*(1+$J$17)^(1/12)</f>
        <v>8924.9998902793905</v>
      </c>
      <c r="M314" s="31">
        <f t="shared" si="54"/>
        <v>12</v>
      </c>
      <c r="N314" s="31">
        <f t="shared" si="55"/>
        <v>0</v>
      </c>
      <c r="O314" s="31">
        <f t="shared" si="56"/>
        <v>-2.25</v>
      </c>
      <c r="P314" s="62"/>
      <c r="Q314" s="31">
        <f t="shared" si="49"/>
        <v>-9.4187204844152248</v>
      </c>
      <c r="R314" s="31">
        <f>SUM($Q$36:Q314)</f>
        <v>-3213.8042946674227</v>
      </c>
      <c r="S314" s="83">
        <f>IF($L$2&lt;&gt;1,-(R314-$R$36)/B314*12/$Q$36,0)</f>
        <v>-0.18982977126802533</v>
      </c>
      <c r="T314" s="31">
        <f>SUMPRODUCT($Q$36:Q314,$E$36:E314)/E314-R314</f>
        <v>-3354.2402917036638</v>
      </c>
      <c r="U314" s="31">
        <f t="shared" si="50"/>
        <v>4334.6239502418757</v>
      </c>
      <c r="V314" s="31">
        <f t="shared" si="51"/>
        <v>4930.0239502418754</v>
      </c>
      <c r="W314" s="80" cm="1">
        <f t="array" ref="W314">IF($L$2&lt;&gt;1,IRR(IF(ROW($Q$36:Q314)=ROW(Q314),Q314+L314-K314,$Q$36:Q314),W313/12)*12,0)</f>
        <v>5.6245772621682733E-2</v>
      </c>
      <c r="X314" s="83">
        <f>(1+W314/12)^(B314)-1</f>
        <v>2.6692336823647302</v>
      </c>
    </row>
    <row r="315" spans="2:24" x14ac:dyDescent="0.25">
      <c r="B315" s="33">
        <v>279</v>
      </c>
      <c r="C315" s="81">
        <f t="shared" si="47"/>
        <v>23.25</v>
      </c>
      <c r="D315" s="105">
        <f t="shared" si="48"/>
        <v>3.9789301544717048E-3</v>
      </c>
      <c r="E315" s="106">
        <f t="shared" si="52"/>
        <v>0.33024555138161449</v>
      </c>
      <c r="F315" s="60">
        <f>rate</f>
        <v>3.2737397821989145E-3</v>
      </c>
      <c r="G315" s="31">
        <f>IF(AND(B314&gt;=gracia,12*años+gracia-B314&gt;0,$L$2&lt;&gt;1),PMT(F314,12*años-B314+gracia,-K314),0)</f>
        <v>19.168720484415221</v>
      </c>
      <c r="H315" s="31">
        <f>IF(AND(12*años+gracia-B314&gt;0,$L$2&lt;&gt;1),K314*F315,0)</f>
        <v>4.506537358495085</v>
      </c>
      <c r="I315" s="31">
        <f>IF(AND(12*años+gracia-B314&gt;0,$L$2&lt;&gt;1),G315-H315,0)</f>
        <v>14.662183125920137</v>
      </c>
      <c r="J315" s="62"/>
      <c r="K315" s="61">
        <f t="shared" si="53"/>
        <v>1361.9094622441714</v>
      </c>
      <c r="L315" s="61">
        <f>L314*(1+$J$17)^(1/12)</f>
        <v>8947.0113477266004</v>
      </c>
      <c r="M315" s="31">
        <f t="shared" si="54"/>
        <v>12</v>
      </c>
      <c r="N315" s="31">
        <f t="shared" si="55"/>
        <v>0</v>
      </c>
      <c r="O315" s="31">
        <f t="shared" si="56"/>
        <v>-2.25</v>
      </c>
      <c r="P315" s="62"/>
      <c r="Q315" s="31">
        <f t="shared" si="49"/>
        <v>-9.4187204844152213</v>
      </c>
      <c r="R315" s="31">
        <f>SUM($Q$36:Q315)</f>
        <v>-3223.2230151518379</v>
      </c>
      <c r="S315" s="83">
        <f>IF($L$2&lt;&gt;1,-(R315-$R$36)/B315*12/$Q$36,0)</f>
        <v>-0.18982977126802533</v>
      </c>
      <c r="T315" s="31">
        <f>SUMPRODUCT($Q$36:Q315,$E$36:E315)/E315-R315</f>
        <v>-3380.3740823642902</v>
      </c>
      <c r="U315" s="31">
        <f t="shared" si="50"/>
        <v>4361.8788703305909</v>
      </c>
      <c r="V315" s="31">
        <f t="shared" si="51"/>
        <v>4957.2788703305905</v>
      </c>
      <c r="W315" s="80" cm="1">
        <f t="array" ref="W315">IF($L$2&lt;&gt;1,IRR(IF(ROW($Q$36:Q315)=ROW(Q315),Q315+L315-K315,$Q$36:Q315),W314/12)*12,0)</f>
        <v>5.618136760055048E-2</v>
      </c>
      <c r="X315" s="83">
        <f>(1+W315/12)^(B315)-1</f>
        <v>2.6809416285072465</v>
      </c>
    </row>
    <row r="316" spans="2:24" x14ac:dyDescent="0.25">
      <c r="B316" s="33">
        <v>280</v>
      </c>
      <c r="C316" s="81">
        <f t="shared" si="47"/>
        <v>23.333333333333332</v>
      </c>
      <c r="D316" s="105">
        <f t="shared" si="48"/>
        <v>3.9789301544717048E-3</v>
      </c>
      <c r="E316" s="106">
        <f t="shared" si="52"/>
        <v>0.32893673508746152</v>
      </c>
      <c r="F316" s="60">
        <f>rate</f>
        <v>3.2737397821989145E-3</v>
      </c>
      <c r="G316" s="31">
        <f>IF(AND(B315&gt;=gracia,12*años+gracia-B315&gt;0,$L$2&lt;&gt;1),PMT(F315,12*años-B315+gracia,-K315),0)</f>
        <v>19.168720484415225</v>
      </c>
      <c r="H316" s="31">
        <f>IF(AND(12*años+gracia-B315&gt;0,$L$2&lt;&gt;1),K315*F316,0)</f>
        <v>4.4585371863018741</v>
      </c>
      <c r="I316" s="31">
        <f>IF(AND(12*años+gracia-B315&gt;0,$L$2&lt;&gt;1),G316-H316,0)</f>
        <v>14.71018329811335</v>
      </c>
      <c r="J316" s="62"/>
      <c r="K316" s="61">
        <f t="shared" si="53"/>
        <v>1347.199278946058</v>
      </c>
      <c r="L316" s="61">
        <f>L315*(1+$J$17)^(1/12)</f>
        <v>8969.0770913659562</v>
      </c>
      <c r="M316" s="31">
        <f t="shared" si="54"/>
        <v>12</v>
      </c>
      <c r="N316" s="31">
        <f t="shared" si="55"/>
        <v>0</v>
      </c>
      <c r="O316" s="31">
        <f t="shared" si="56"/>
        <v>-2.25</v>
      </c>
      <c r="P316" s="62"/>
      <c r="Q316" s="31">
        <f t="shared" si="49"/>
        <v>-9.4187204844152248</v>
      </c>
      <c r="R316" s="31">
        <f>SUM($Q$36:Q316)</f>
        <v>-3232.6417356362531</v>
      </c>
      <c r="S316" s="83">
        <f>IF($L$2&lt;&gt;1,-(R316-$R$36)/B316*12/$Q$36,0)</f>
        <v>-0.18982977126802533</v>
      </c>
      <c r="T316" s="31">
        <f>SUMPRODUCT($Q$36:Q316,$E$36:E316)/E316-R316</f>
        <v>-3406.6493339835793</v>
      </c>
      <c r="U316" s="31">
        <f t="shared" si="50"/>
        <v>4389.2360767836453</v>
      </c>
      <c r="V316" s="31">
        <f t="shared" si="51"/>
        <v>4984.636076783645</v>
      </c>
      <c r="W316" s="80" cm="1">
        <f t="array" ref="W316">IF($L$2&lt;&gt;1,IRR(IF(ROW($Q$36:Q316)=ROW(Q316),Q316+L316-K316,$Q$36:Q316),W315/12)*12,0)</f>
        <v>5.6117274416395801E-2</v>
      </c>
      <c r="X316" s="83">
        <f>(1+W316/12)^(B316)-1</f>
        <v>2.6926741939116794</v>
      </c>
    </row>
    <row r="317" spans="2:24" x14ac:dyDescent="0.25">
      <c r="B317" s="33">
        <v>281</v>
      </c>
      <c r="C317" s="81">
        <f t="shared" si="47"/>
        <v>23.416666666666668</v>
      </c>
      <c r="D317" s="105">
        <f t="shared" si="48"/>
        <v>3.9789301544717048E-3</v>
      </c>
      <c r="E317" s="106">
        <f t="shared" si="52"/>
        <v>0.32763310584301952</v>
      </c>
      <c r="F317" s="60">
        <f>rate</f>
        <v>3.2737397821989145E-3</v>
      </c>
      <c r="G317" s="31">
        <f>IF(AND(B316&gt;=gracia,12*años+gracia-B316&gt;0,$L$2&lt;&gt;1),PMT(F316,12*años-B316+gracia,-K316),0)</f>
        <v>19.168720484415218</v>
      </c>
      <c r="H317" s="31">
        <f>IF(AND(12*años+gracia-B316&gt;0,$L$2&lt;&gt;1),K316*F317,0)</f>
        <v>4.410379874035403</v>
      </c>
      <c r="I317" s="31">
        <f>IF(AND(12*años+gracia-B316&gt;0,$L$2&lt;&gt;1),G317-H317,0)</f>
        <v>14.758340610379815</v>
      </c>
      <c r="J317" s="62"/>
      <c r="K317" s="61">
        <f t="shared" si="53"/>
        <v>1332.4409383356783</v>
      </c>
      <c r="L317" s="61">
        <f>L316*(1+$J$17)^(1/12)</f>
        <v>8991.1972550818537</v>
      </c>
      <c r="M317" s="31">
        <f t="shared" si="54"/>
        <v>12</v>
      </c>
      <c r="N317" s="31">
        <f t="shared" si="55"/>
        <v>0</v>
      </c>
      <c r="O317" s="31">
        <f t="shared" si="56"/>
        <v>-2.25</v>
      </c>
      <c r="P317" s="62"/>
      <c r="Q317" s="31">
        <f t="shared" si="49"/>
        <v>-9.4187204844152177</v>
      </c>
      <c r="R317" s="31">
        <f>SUM($Q$36:Q317)</f>
        <v>-3242.0604561206683</v>
      </c>
      <c r="S317" s="83">
        <f>IF($L$2&lt;&gt;1,-(R317-$R$36)/B317*12/$Q$36,0)</f>
        <v>-0.18982977126802533</v>
      </c>
      <c r="T317" s="31">
        <f>SUMPRODUCT($Q$36:Q317,$E$36:E317)/E317-R317</f>
        <v>-3433.0666094248036</v>
      </c>
      <c r="U317" s="31">
        <f t="shared" si="50"/>
        <v>4416.6958606255066</v>
      </c>
      <c r="V317" s="31">
        <f t="shared" si="51"/>
        <v>5012.0958606255062</v>
      </c>
      <c r="W317" s="80" cm="1">
        <f t="array" ref="W317">IF($L$2&lt;&gt;1,IRR(IF(ROW($Q$36:Q317)=ROW(Q317),Q317+L317-K317,$Q$36:Q317),W316/12)*12,0)</f>
        <v>5.605349106790225E-2</v>
      </c>
      <c r="X317" s="83">
        <f>(1+W317/12)^(B317)-1</f>
        <v>2.7044314907348697</v>
      </c>
    </row>
    <row r="318" spans="2:24" x14ac:dyDescent="0.25">
      <c r="B318" s="33">
        <v>282</v>
      </c>
      <c r="C318" s="81">
        <f t="shared" si="47"/>
        <v>23.5</v>
      </c>
      <c r="D318" s="105">
        <f t="shared" si="48"/>
        <v>3.9789301544717048E-3</v>
      </c>
      <c r="E318" s="106">
        <f t="shared" si="52"/>
        <v>0.32633464309117527</v>
      </c>
      <c r="F318" s="60">
        <f>rate</f>
        <v>3.2737397821989145E-3</v>
      </c>
      <c r="G318" s="31">
        <f>IF(AND(B317&gt;=gracia,12*años+gracia-B317&gt;0,$L$2&lt;&gt;1),PMT(F317,12*años-B317+gracia,-K317),0)</f>
        <v>19.168720484415221</v>
      </c>
      <c r="H318" s="31">
        <f>IF(AND(12*años+gracia-B317&gt;0,$L$2&lt;&gt;1),K317*F318,0)</f>
        <v>4.3620649072599607</v>
      </c>
      <c r="I318" s="31">
        <f>IF(AND(12*años+gracia-B317&gt;0,$L$2&lt;&gt;1),G318-H318,0)</f>
        <v>14.806655577155261</v>
      </c>
      <c r="J318" s="62"/>
      <c r="K318" s="61">
        <f t="shared" si="53"/>
        <v>1317.6342827585231</v>
      </c>
      <c r="L318" s="61">
        <f>L317*(1+$J$17)^(1/12)</f>
        <v>9013.3719730888824</v>
      </c>
      <c r="M318" s="31">
        <f t="shared" si="54"/>
        <v>12</v>
      </c>
      <c r="N318" s="31">
        <f t="shared" si="55"/>
        <v>0</v>
      </c>
      <c r="O318" s="31">
        <f t="shared" si="56"/>
        <v>-2.25</v>
      </c>
      <c r="P318" s="62"/>
      <c r="Q318" s="31">
        <f t="shared" si="49"/>
        <v>-9.4187204844152213</v>
      </c>
      <c r="R318" s="31">
        <f>SUM($Q$36:Q318)</f>
        <v>-3251.4791766050835</v>
      </c>
      <c r="S318" s="83">
        <f>IF($L$2&lt;&gt;1,-(R318-$R$36)/B318*12/$Q$36,0)</f>
        <v>-0.18982977126802533</v>
      </c>
      <c r="T318" s="31">
        <f>SUMPRODUCT($Q$36:Q318,$E$36:E318)/E318-R318</f>
        <v>-3459.6264737908336</v>
      </c>
      <c r="U318" s="31">
        <f t="shared" si="50"/>
        <v>4444.2585137252754</v>
      </c>
      <c r="V318" s="31">
        <f t="shared" si="51"/>
        <v>5039.658513725275</v>
      </c>
      <c r="W318" s="80" cm="1">
        <f t="array" ref="W318">IF($L$2&lt;&gt;1,IRR(IF(ROW($Q$36:Q318)=ROW(Q318),Q318+L318-K318,$Q$36:Q318),W317/12)*12,0)</f>
        <v>5.5990015567608964E-2</v>
      </c>
      <c r="X318" s="83">
        <f>(1+W318/12)^(B318)-1</f>
        <v>2.7162136310676033</v>
      </c>
    </row>
    <row r="319" spans="2:24" x14ac:dyDescent="0.25">
      <c r="B319" s="33">
        <v>283</v>
      </c>
      <c r="C319" s="81">
        <f t="shared" si="47"/>
        <v>23.583333333333332</v>
      </c>
      <c r="D319" s="105">
        <f t="shared" si="48"/>
        <v>3.9789301544717048E-3</v>
      </c>
      <c r="E319" s="106">
        <f t="shared" si="52"/>
        <v>0.32504132635628674</v>
      </c>
      <c r="F319" s="60">
        <f>rate</f>
        <v>3.2737397821989145E-3</v>
      </c>
      <c r="G319" s="31">
        <f>IF(AND(B318&gt;=gracia,12*años+gracia-B318&gt;0,$L$2&lt;&gt;1),PMT(F318,12*años-B318+gracia,-K318),0)</f>
        <v>19.168720484415221</v>
      </c>
      <c r="H319" s="31">
        <f>IF(AND(12*años+gracia-B318&gt;0,$L$2&lt;&gt;1),K318*F319,0)</f>
        <v>4.3135917698557105</v>
      </c>
      <c r="I319" s="31">
        <f>IF(AND(12*años+gracia-B318&gt;0,$L$2&lt;&gt;1),G319-H319,0)</f>
        <v>14.855128714559511</v>
      </c>
      <c r="J319" s="62"/>
      <c r="K319" s="61">
        <f t="shared" si="53"/>
        <v>1302.7791540439637</v>
      </c>
      <c r="L319" s="61">
        <f>L318*(1+$J$17)^(1/12)</f>
        <v>9035.6013799326411</v>
      </c>
      <c r="M319" s="31">
        <f t="shared" si="54"/>
        <v>12</v>
      </c>
      <c r="N319" s="31">
        <f t="shared" si="55"/>
        <v>0</v>
      </c>
      <c r="O319" s="31">
        <f t="shared" si="56"/>
        <v>-2.25</v>
      </c>
      <c r="P319" s="62"/>
      <c r="Q319" s="31">
        <f t="shared" si="49"/>
        <v>-9.4187204844152213</v>
      </c>
      <c r="R319" s="31">
        <f>SUM($Q$36:Q319)</f>
        <v>-3260.8978970894987</v>
      </c>
      <c r="S319" s="83">
        <f>IF($L$2&lt;&gt;1,-(R319-$R$36)/B319*12/$Q$36,0)</f>
        <v>-0.18982977126802533</v>
      </c>
      <c r="T319" s="31">
        <f>SUMPRODUCT($Q$36:Q319,$E$36:E319)/E319-R319</f>
        <v>-3486.3294944330401</v>
      </c>
      <c r="U319" s="31">
        <f t="shared" si="50"/>
        <v>4471.9243287991785</v>
      </c>
      <c r="V319" s="31">
        <f t="shared" si="51"/>
        <v>5067.3243287991781</v>
      </c>
      <c r="W319" s="80" cm="1">
        <f t="array" ref="W319">IF($L$2&lt;&gt;1,IRR(IF(ROW($Q$36:Q319)=ROW(Q319),Q319+L319-K319,$Q$36:Q319),W318/12)*12,0)</f>
        <v>5.5926845941892012E-2</v>
      </c>
      <c r="X319" s="83">
        <f>(1+W319/12)^(B319)-1</f>
        <v>2.7280207269408114</v>
      </c>
    </row>
    <row r="320" spans="2:24" x14ac:dyDescent="0.25">
      <c r="B320" s="33">
        <v>284</v>
      </c>
      <c r="C320" s="81">
        <f t="shared" si="47"/>
        <v>23.666666666666668</v>
      </c>
      <c r="D320" s="105">
        <f t="shared" si="48"/>
        <v>3.9789301544717048E-3</v>
      </c>
      <c r="E320" s="106">
        <f t="shared" si="52"/>
        <v>0.32375313524386018</v>
      </c>
      <c r="F320" s="60">
        <f>rate</f>
        <v>3.2737397821989145E-3</v>
      </c>
      <c r="G320" s="31">
        <f>IF(AND(B319&gt;=gracia,12*años+gracia-B319&gt;0,$L$2&lt;&gt;1),PMT(F319,12*años-B319+gracia,-K319),0)</f>
        <v>19.168720484415225</v>
      </c>
      <c r="H320" s="31">
        <f>IF(AND(12*años+gracia-B319&gt;0,$L$2&lt;&gt;1),K319*F320,0)</f>
        <v>4.2649599440131718</v>
      </c>
      <c r="I320" s="31">
        <f>IF(AND(12*años+gracia-B319&gt;0,$L$2&lt;&gt;1),G320-H320,0)</f>
        <v>14.903760540402054</v>
      </c>
      <c r="J320" s="62"/>
      <c r="K320" s="61">
        <f t="shared" si="53"/>
        <v>1287.8753935035616</v>
      </c>
      <c r="L320" s="61">
        <f>L319*(1+$J$17)^(1/12)</f>
        <v>9057.8856104905535</v>
      </c>
      <c r="M320" s="31">
        <f t="shared" si="54"/>
        <v>12</v>
      </c>
      <c r="N320" s="31">
        <f t="shared" si="55"/>
        <v>0</v>
      </c>
      <c r="O320" s="31">
        <f t="shared" si="56"/>
        <v>-2.25</v>
      </c>
      <c r="P320" s="62"/>
      <c r="Q320" s="31">
        <f t="shared" si="49"/>
        <v>-9.4187204844152248</v>
      </c>
      <c r="R320" s="31">
        <f>SUM($Q$36:Q320)</f>
        <v>-3270.3166175739138</v>
      </c>
      <c r="S320" s="83">
        <f>IF($L$2&lt;&gt;1,-(R320-$R$36)/B320*12/$Q$36,0)</f>
        <v>-0.18982977126802533</v>
      </c>
      <c r="T320" s="31">
        <f>SUMPRODUCT($Q$36:Q320,$E$36:E320)/E320-R320</f>
        <v>-3513.1762409602475</v>
      </c>
      <c r="U320" s="31">
        <f t="shared" si="50"/>
        <v>4499.6935994130781</v>
      </c>
      <c r="V320" s="31">
        <f t="shared" si="51"/>
        <v>5095.0935994130778</v>
      </c>
      <c r="W320" s="80" cm="1">
        <f t="array" ref="W320">IF($L$2&lt;&gt;1,IRR(IF(ROW($Q$36:Q320)=ROW(Q320),Q320+L320-K320,$Q$36:Q320),W319/12)*12,0)</f>
        <v>5.5863980230887123E-2</v>
      </c>
      <c r="X320" s="83">
        <f>(1+W320/12)^(B320)-1</f>
        <v>2.7398528903277541</v>
      </c>
    </row>
    <row r="321" spans="2:24" x14ac:dyDescent="0.25">
      <c r="B321" s="33">
        <v>285</v>
      </c>
      <c r="C321" s="81">
        <f t="shared" si="47"/>
        <v>23.75</v>
      </c>
      <c r="D321" s="105">
        <f t="shared" si="48"/>
        <v>3.9789301544717048E-3</v>
      </c>
      <c r="E321" s="106">
        <f t="shared" si="52"/>
        <v>0.32247004944022845</v>
      </c>
      <c r="F321" s="60">
        <f>rate</f>
        <v>3.2737397821989145E-3</v>
      </c>
      <c r="G321" s="31">
        <f>IF(AND(B320&gt;=gracia,12*años+gracia-B320&gt;0,$L$2&lt;&gt;1),PMT(F320,12*años-B320+gracia,-K320),0)</f>
        <v>19.168720484415221</v>
      </c>
      <c r="H321" s="31">
        <f>IF(AND(12*años+gracia-B320&gt;0,$L$2&lt;&gt;1),K320*F321,0)</f>
        <v>4.2161689102276911</v>
      </c>
      <c r="I321" s="31">
        <f>IF(AND(12*años+gracia-B320&gt;0,$L$2&lt;&gt;1),G321-H321,0)</f>
        <v>14.952551574187531</v>
      </c>
      <c r="J321" s="62"/>
      <c r="K321" s="61">
        <f t="shared" si="53"/>
        <v>1272.922841929374</v>
      </c>
      <c r="L321" s="61">
        <f>L320*(1+$J$17)^(1/12)</f>
        <v>9080.2247999726915</v>
      </c>
      <c r="M321" s="31">
        <f t="shared" si="54"/>
        <v>12</v>
      </c>
      <c r="N321" s="31">
        <f t="shared" si="55"/>
        <v>0</v>
      </c>
      <c r="O321" s="31">
        <f t="shared" si="56"/>
        <v>-2.25</v>
      </c>
      <c r="P321" s="62"/>
      <c r="Q321" s="31">
        <f t="shared" si="49"/>
        <v>-9.4187204844152213</v>
      </c>
      <c r="R321" s="31">
        <f>SUM($Q$36:Q321)</f>
        <v>-3279.735338058329</v>
      </c>
      <c r="S321" s="83">
        <f>IF($L$2&lt;&gt;1,-(R321-$R$36)/B321*12/$Q$36,0)</f>
        <v>-0.18982977126802533</v>
      </c>
      <c r="T321" s="31">
        <f>SUMPRODUCT($Q$36:Q321,$E$36:E321)/E321-R321</f>
        <v>-3540.1672852477122</v>
      </c>
      <c r="U321" s="31">
        <f t="shared" si="50"/>
        <v>4527.5666199849884</v>
      </c>
      <c r="V321" s="31">
        <f t="shared" si="51"/>
        <v>5122.966619984988</v>
      </c>
      <c r="W321" s="80" cm="1">
        <f t="array" ref="W321">IF($L$2&lt;&gt;1,IRR(IF(ROW($Q$36:Q321)=ROW(Q321),Q321+L321-K321,$Q$36:Q321),W320/12)*12,0)</f>
        <v>5.5801416488468369E-2</v>
      </c>
      <c r="X321" s="83">
        <f>(1+W321/12)^(B321)-1</f>
        <v>2.7517102331499146</v>
      </c>
    </row>
    <row r="322" spans="2:24" x14ac:dyDescent="0.25">
      <c r="B322" s="33">
        <v>286</v>
      </c>
      <c r="C322" s="81">
        <f t="shared" si="47"/>
        <v>23.833333333333332</v>
      </c>
      <c r="D322" s="105">
        <f t="shared" si="48"/>
        <v>3.9789301544717048E-3</v>
      </c>
      <c r="E322" s="106">
        <f t="shared" si="52"/>
        <v>0.32119204871223078</v>
      </c>
      <c r="F322" s="60">
        <f>rate</f>
        <v>3.2737397821989145E-3</v>
      </c>
      <c r="G322" s="31">
        <f>IF(AND(B321&gt;=gracia,12*años+gracia-B321&gt;0,$L$2&lt;&gt;1),PMT(F321,12*años-B321+gracia,-K321),0)</f>
        <v>19.168720484415225</v>
      </c>
      <c r="H322" s="31">
        <f>IF(AND(12*años+gracia-B321&gt;0,$L$2&lt;&gt;1),K321*F322,0)</f>
        <v>4.1672181472938918</v>
      </c>
      <c r="I322" s="31">
        <f>IF(AND(12*años+gracia-B321&gt;0,$L$2&lt;&gt;1),G322-H322,0)</f>
        <v>15.001502337121334</v>
      </c>
      <c r="J322" s="62"/>
      <c r="K322" s="61">
        <f t="shared" si="53"/>
        <v>1257.9213395922527</v>
      </c>
      <c r="L322" s="61">
        <f>L321*(1+$J$17)^(1/12)</f>
        <v>9102.6190839225856</v>
      </c>
      <c r="M322" s="31">
        <f t="shared" si="54"/>
        <v>12</v>
      </c>
      <c r="N322" s="31">
        <f t="shared" si="55"/>
        <v>0</v>
      </c>
      <c r="O322" s="31">
        <f t="shared" si="56"/>
        <v>-2.25</v>
      </c>
      <c r="P322" s="62"/>
      <c r="Q322" s="31">
        <f t="shared" si="49"/>
        <v>-9.4187204844152248</v>
      </c>
      <c r="R322" s="31">
        <f>SUM($Q$36:Q322)</f>
        <v>-3289.1540585427442</v>
      </c>
      <c r="S322" s="83">
        <f>IF($L$2&lt;&gt;1,-(R322-$R$36)/B322*12/$Q$36,0)</f>
        <v>-0.18982977126802533</v>
      </c>
      <c r="T322" s="31">
        <f>SUMPRODUCT($Q$36:Q322,$E$36:E322)/E322-R322</f>
        <v>-3567.3032014461464</v>
      </c>
      <c r="U322" s="31">
        <f t="shared" si="50"/>
        <v>4555.5436857875884</v>
      </c>
      <c r="V322" s="31">
        <f t="shared" si="51"/>
        <v>5150.943685787588</v>
      </c>
      <c r="W322" s="80" cm="1">
        <f t="array" ref="W322">IF($L$2&lt;&gt;1,IRR(IF(ROW($Q$36:Q322)=ROW(Q322),Q322+L322-K322,$Q$36:Q322),W321/12)*12,0)</f>
        <v>5.5739152782181556E-2</v>
      </c>
      <c r="X322" s="83">
        <f>(1+W322/12)^(B322)-1</f>
        <v>2.7635928672808481</v>
      </c>
    </row>
    <row r="323" spans="2:24" x14ac:dyDescent="0.25">
      <c r="B323" s="33">
        <v>287</v>
      </c>
      <c r="C323" s="81">
        <f t="shared" si="47"/>
        <v>23.916666666666668</v>
      </c>
      <c r="D323" s="105">
        <f t="shared" si="48"/>
        <v>3.9789301544717048E-3</v>
      </c>
      <c r="E323" s="106">
        <f t="shared" si="52"/>
        <v>0.31991911290689373</v>
      </c>
      <c r="F323" s="60">
        <f>rate</f>
        <v>3.2737397821989145E-3</v>
      </c>
      <c r="G323" s="31">
        <f>IF(AND(B322&gt;=gracia,12*años+gracia-B322&gt;0,$L$2&lt;&gt;1),PMT(F322,12*años-B322+gracia,-K322),0)</f>
        <v>19.168720484415225</v>
      </c>
      <c r="H323" s="31">
        <f>IF(AND(12*años+gracia-B322&gt;0,$L$2&lt;&gt;1),K322*F323,0)</f>
        <v>4.1181071323001079</v>
      </c>
      <c r="I323" s="31">
        <f>IF(AND(12*años+gracia-B322&gt;0,$L$2&lt;&gt;1),G323-H323,0)</f>
        <v>15.050613352115118</v>
      </c>
      <c r="J323" s="62"/>
      <c r="K323" s="61">
        <f t="shared" si="53"/>
        <v>1242.8707262401376</v>
      </c>
      <c r="L323" s="61">
        <f>L322*(1+$J$17)^(1/12)</f>
        <v>9125.0685982180585</v>
      </c>
      <c r="M323" s="31">
        <f t="shared" si="54"/>
        <v>12</v>
      </c>
      <c r="N323" s="31">
        <f t="shared" si="55"/>
        <v>0</v>
      </c>
      <c r="O323" s="31">
        <f t="shared" si="56"/>
        <v>-2.25</v>
      </c>
      <c r="P323" s="62"/>
      <c r="Q323" s="31">
        <f t="shared" si="49"/>
        <v>-9.4187204844152248</v>
      </c>
      <c r="R323" s="31">
        <f>SUM($Q$36:Q323)</f>
        <v>-3298.5727790271594</v>
      </c>
      <c r="S323" s="83">
        <f>IF($L$2&lt;&gt;1,-(R323-$R$36)/B323*12/$Q$36,0)</f>
        <v>-0.18982977126802533</v>
      </c>
      <c r="T323" s="31">
        <f>SUMPRODUCT($Q$36:Q323,$E$36:E323)/E323-R323</f>
        <v>-3594.5845659907618</v>
      </c>
      <c r="U323" s="31">
        <f t="shared" si="50"/>
        <v>4583.6250929507614</v>
      </c>
      <c r="V323" s="31">
        <f t="shared" si="51"/>
        <v>5179.0250929507611</v>
      </c>
      <c r="W323" s="80" cm="1">
        <f t="array" ref="W323">IF($L$2&lt;&gt;1,IRR(IF(ROW($Q$36:Q323)=ROW(Q323),Q323+L323-K323,$Q$36:Q323),W322/12)*12,0)</f>
        <v>5.5677187193185596E-2</v>
      </c>
      <c r="X323" s="83">
        <f>(1+W323/12)^(B323)-1</f>
        <v>2.7755009045487751</v>
      </c>
    </row>
    <row r="324" spans="2:24" x14ac:dyDescent="0.25">
      <c r="B324" s="33">
        <v>288</v>
      </c>
      <c r="C324" s="81">
        <f t="shared" si="47"/>
        <v>24</v>
      </c>
      <c r="D324" s="105">
        <f t="shared" si="48"/>
        <v>3.9789301544717048E-3</v>
      </c>
      <c r="E324" s="106">
        <f t="shared" si="52"/>
        <v>0.31865122195111317</v>
      </c>
      <c r="F324" s="60">
        <f>rate</f>
        <v>3.2737397821989145E-3</v>
      </c>
      <c r="G324" s="31">
        <f>IF(AND(B323&gt;=gracia,12*años+gracia-B323&gt;0,$L$2&lt;&gt;1),PMT(F323,12*años-B323+gracia,-K323),0)</f>
        <v>19.168720484415225</v>
      </c>
      <c r="H324" s="31">
        <f>IF(AND(12*años+gracia-B323&gt;0,$L$2&lt;&gt;1),K323*F324,0)</f>
        <v>4.0688353406227948</v>
      </c>
      <c r="I324" s="31">
        <f>IF(AND(12*años+gracia-B323&gt;0,$L$2&lt;&gt;1),G324-H324,0)</f>
        <v>15.099885143792431</v>
      </c>
      <c r="J324" s="62"/>
      <c r="K324" s="61">
        <f t="shared" si="53"/>
        <v>1227.7708410963453</v>
      </c>
      <c r="L324" s="61">
        <f>L323*(1+$J$17)^(1/12)</f>
        <v>9147.5734790720417</v>
      </c>
      <c r="M324" s="31">
        <f t="shared" si="54"/>
        <v>12</v>
      </c>
      <c r="N324" s="31">
        <f t="shared" si="55"/>
        <v>0</v>
      </c>
      <c r="O324" s="31">
        <f t="shared" si="56"/>
        <v>-2.25</v>
      </c>
      <c r="P324" s="62"/>
      <c r="Q324" s="31">
        <f t="shared" si="49"/>
        <v>-9.4187204844152248</v>
      </c>
      <c r="R324" s="31">
        <f>SUM($Q$36:Q324)</f>
        <v>-3307.9914995115746</v>
      </c>
      <c r="S324" s="83">
        <f>IF($L$2&lt;&gt;1,-(R324-$R$36)/B324*12/$Q$36,0)</f>
        <v>-0.18982977126802533</v>
      </c>
      <c r="T324" s="31">
        <f>SUMPRODUCT($Q$36:Q324,$E$36:E324)/E324-R324</f>
        <v>-3622.0119576103721</v>
      </c>
      <c r="U324" s="31">
        <f t="shared" si="50"/>
        <v>4611.8111384641215</v>
      </c>
      <c r="V324" s="31">
        <f t="shared" si="51"/>
        <v>5207.2111384641212</v>
      </c>
      <c r="W324" s="80" cm="1">
        <f t="array" ref="W324">IF($L$2&lt;&gt;1,IRR(IF(ROW($Q$36:Q324)=ROW(Q324),Q324+L324-K324,$Q$36:Q324),W323/12)*12,0)</f>
        <v>5.5615517816207216E-2</v>
      </c>
      <c r="X324" s="83">
        <f>(1+W324/12)^(B324)-1</f>
        <v>2.7874344567427092</v>
      </c>
    </row>
    <row r="325" spans="2:24" x14ac:dyDescent="0.25">
      <c r="B325" s="33">
        <v>289</v>
      </c>
      <c r="C325" s="81">
        <f t="shared" si="47"/>
        <v>24.083333333333332</v>
      </c>
      <c r="D325" s="105">
        <f t="shared" si="48"/>
        <v>3.9789301544717048E-3</v>
      </c>
      <c r="E325" s="106">
        <f t="shared" si="52"/>
        <v>0.31738835585133807</v>
      </c>
      <c r="F325" s="60">
        <f>rate</f>
        <v>3.2737397821989145E-3</v>
      </c>
      <c r="G325" s="31">
        <f>IF(AND(B324&gt;=gracia,12*años+gracia-B324&gt;0,$L$2&lt;&gt;1),PMT(F324,12*años-B324+gracia,-K324),0)</f>
        <v>19.168720484415225</v>
      </c>
      <c r="H325" s="31">
        <f>IF(AND(12*años+gracia-B324&gt;0,$L$2&lt;&gt;1),K324*F325,0)</f>
        <v>4.0194022459209275</v>
      </c>
      <c r="I325" s="31">
        <f>IF(AND(12*años+gracia-B324&gt;0,$L$2&lt;&gt;1),G325-H325,0)</f>
        <v>15.149318238494297</v>
      </c>
      <c r="J325" s="62"/>
      <c r="K325" s="61">
        <f t="shared" si="53"/>
        <v>1212.621522857851</v>
      </c>
      <c r="L325" s="61">
        <f>L324*(1+$J$17)^(1/12)</f>
        <v>9170.133863033403</v>
      </c>
      <c r="M325" s="31">
        <f t="shared" si="54"/>
        <v>12</v>
      </c>
      <c r="N325" s="31">
        <f t="shared" si="55"/>
        <v>0</v>
      </c>
      <c r="O325" s="31">
        <f t="shared" si="56"/>
        <v>-2.25</v>
      </c>
      <c r="P325" s="62"/>
      <c r="Q325" s="31">
        <f t="shared" si="49"/>
        <v>-9.4187204844152248</v>
      </c>
      <c r="R325" s="31">
        <f>SUM($Q$36:Q325)</f>
        <v>-3317.4102199959898</v>
      </c>
      <c r="S325" s="83">
        <f>IF($L$2&lt;&gt;1,-(R325-$R$36)/B325*12/$Q$36,0)</f>
        <v>-0.18982977126802533</v>
      </c>
      <c r="T325" s="31">
        <f>SUMPRODUCT($Q$36:Q325,$E$36:E325)/E325-R325</f>
        <v>-3649.5859573365078</v>
      </c>
      <c r="U325" s="31">
        <f t="shared" si="50"/>
        <v>4640.102120179562</v>
      </c>
      <c r="V325" s="31">
        <f t="shared" si="51"/>
        <v>5235.5021201795616</v>
      </c>
      <c r="W325" s="80" cm="1">
        <f t="array" ref="W325">IF($L$2&lt;&gt;1,IRR(IF(ROW($Q$36:Q325)=ROW(Q325),Q325+L325-K325,$Q$36:Q325),W324/12)*12,0)</f>
        <v>5.555414275947701E-2</v>
      </c>
      <c r="X325" s="83">
        <f>(1+W325/12)^(B325)-1</f>
        <v>2.7993936356148459</v>
      </c>
    </row>
    <row r="326" spans="2:24" x14ac:dyDescent="0.25">
      <c r="B326" s="33">
        <v>290</v>
      </c>
      <c r="C326" s="81">
        <f t="shared" si="47"/>
        <v>24.166666666666668</v>
      </c>
      <c r="D326" s="105">
        <f t="shared" si="48"/>
        <v>3.9789301544717048E-3</v>
      </c>
      <c r="E326" s="106">
        <f t="shared" si="52"/>
        <v>0.31613049469325499</v>
      </c>
      <c r="F326" s="60">
        <f>rate</f>
        <v>3.2737397821989145E-3</v>
      </c>
      <c r="G326" s="31">
        <f>IF(AND(B325&gt;=gracia,12*años+gracia-B325&gt;0,$L$2&lt;&gt;1),PMT(F325,12*años-B325+gracia,-K325),0)</f>
        <v>19.168720484415225</v>
      </c>
      <c r="H326" s="31">
        <f>IF(AND(12*años+gracia-B325&gt;0,$L$2&lt;&gt;1),K325*F326,0)</f>
        <v>3.9698073201303772</v>
      </c>
      <c r="I326" s="31">
        <f>IF(AND(12*años+gracia-B325&gt;0,$L$2&lt;&gt;1),G326-H326,0)</f>
        <v>15.198913164284848</v>
      </c>
      <c r="J326" s="62"/>
      <c r="K326" s="61">
        <f t="shared" si="53"/>
        <v>1197.4226096935661</v>
      </c>
      <c r="L326" s="61">
        <f>L325*(1+$J$17)^(1/12)</f>
        <v>9192.74988698778</v>
      </c>
      <c r="M326" s="31">
        <f t="shared" si="54"/>
        <v>12</v>
      </c>
      <c r="N326" s="31">
        <f t="shared" si="55"/>
        <v>0</v>
      </c>
      <c r="O326" s="31">
        <f t="shared" si="56"/>
        <v>-2.25</v>
      </c>
      <c r="P326" s="62"/>
      <c r="Q326" s="31">
        <f t="shared" si="49"/>
        <v>-9.4187204844152248</v>
      </c>
      <c r="R326" s="31">
        <f>SUM($Q$36:Q326)</f>
        <v>-3326.828940480405</v>
      </c>
      <c r="S326" s="83">
        <f>IF($L$2&lt;&gt;1,-(R326-$R$36)/B326*12/$Q$36,0)</f>
        <v>-0.18982977126802533</v>
      </c>
      <c r="T326" s="31">
        <f>SUMPRODUCT($Q$36:Q326,$E$36:E326)/E326-R326</f>
        <v>-3677.3071485125861</v>
      </c>
      <c r="U326" s="31">
        <f t="shared" si="50"/>
        <v>4668.4983368138091</v>
      </c>
      <c r="V326" s="31">
        <f t="shared" si="51"/>
        <v>5263.8983368138088</v>
      </c>
      <c r="W326" s="80" cm="1">
        <f t="array" ref="W326">IF($L$2&lt;&gt;1,IRR(IF(ROW($Q$36:Q326)=ROW(Q326),Q326+L326-K326,$Q$36:Q326),W325/12)*12,0)</f>
        <v>5.5493060144676143E-2</v>
      </c>
      <c r="X326" s="83">
        <f>(1+W326/12)^(B326)-1</f>
        <v>2.8113785528860791</v>
      </c>
    </row>
    <row r="327" spans="2:24" x14ac:dyDescent="0.25">
      <c r="B327" s="33">
        <v>291</v>
      </c>
      <c r="C327" s="81">
        <f t="shared" si="47"/>
        <v>24.25</v>
      </c>
      <c r="D327" s="105">
        <f t="shared" si="48"/>
        <v>3.9789301544717048E-3</v>
      </c>
      <c r="E327" s="106">
        <f t="shared" si="52"/>
        <v>0.31487761864147418</v>
      </c>
      <c r="F327" s="60">
        <f>rate</f>
        <v>3.2737397821989145E-3</v>
      </c>
      <c r="G327" s="31">
        <f>IF(AND(B326&gt;=gracia,12*años+gracia-B326&gt;0,$L$2&lt;&gt;1),PMT(F326,12*años-B326+gracia,-K326),0)</f>
        <v>19.168720484415225</v>
      </c>
      <c r="H327" s="31">
        <f>IF(AND(12*años+gracia-B326&gt;0,$L$2&lt;&gt;1),K326*F327,0)</f>
        <v>3.9200500334582706</v>
      </c>
      <c r="I327" s="31">
        <f>IF(AND(12*años+gracia-B326&gt;0,$L$2&lt;&gt;1),G327-H327,0)</f>
        <v>15.248670450956954</v>
      </c>
      <c r="J327" s="62"/>
      <c r="K327" s="61">
        <f t="shared" si="53"/>
        <v>1182.1739392426091</v>
      </c>
      <c r="L327" s="61">
        <f>L326*(1+$J$17)^(1/12)</f>
        <v>9215.4216881584052</v>
      </c>
      <c r="M327" s="31">
        <f t="shared" si="54"/>
        <v>12</v>
      </c>
      <c r="N327" s="31">
        <f t="shared" si="55"/>
        <v>0</v>
      </c>
      <c r="O327" s="31">
        <f t="shared" si="56"/>
        <v>-2.25</v>
      </c>
      <c r="P327" s="62"/>
      <c r="Q327" s="31">
        <f t="shared" si="49"/>
        <v>-9.4187204844152248</v>
      </c>
      <c r="R327" s="31">
        <f>SUM($Q$36:Q327)</f>
        <v>-3336.2476609648202</v>
      </c>
      <c r="S327" s="83">
        <f>IF($L$2&lt;&gt;1,-(R327-$R$36)/B327*12/$Q$36,0)</f>
        <v>-0.18982977126802533</v>
      </c>
      <c r="T327" s="31">
        <f>SUMPRODUCT($Q$36:Q327,$E$36:E327)/E327-R327</f>
        <v>-3705.1761168031053</v>
      </c>
      <c r="U327" s="31">
        <f t="shared" si="50"/>
        <v>4697.0000879509762</v>
      </c>
      <c r="V327" s="31">
        <f t="shared" si="51"/>
        <v>5292.4000879509758</v>
      </c>
      <c r="W327" s="80" cm="1">
        <f t="array" ref="W327">IF($L$2&lt;&gt;1,IRR(IF(ROW($Q$36:Q327)=ROW(Q327),Q327+L327-K327,$Q$36:Q327),W326/12)*12,0)</f>
        <v>5.5432268106867078E-2</v>
      </c>
      <c r="X327" s="83">
        <f>(1+W327/12)^(B327)-1</f>
        <v>2.8233893202480242</v>
      </c>
    </row>
    <row r="328" spans="2:24" x14ac:dyDescent="0.25">
      <c r="B328" s="33">
        <v>292</v>
      </c>
      <c r="C328" s="81">
        <f t="shared" si="47"/>
        <v>24.333333333333332</v>
      </c>
      <c r="D328" s="105">
        <f t="shared" si="48"/>
        <v>3.9789301544717048E-3</v>
      </c>
      <c r="E328" s="106">
        <f t="shared" si="52"/>
        <v>0.31362970793921668</v>
      </c>
      <c r="F328" s="60">
        <f>rate</f>
        <v>3.2737397821989145E-3</v>
      </c>
      <c r="G328" s="31">
        <f>IF(AND(B327&gt;=gracia,12*años+gracia-B327&gt;0,$L$2&lt;&gt;1),PMT(F327,12*años-B327+gracia,-K327),0)</f>
        <v>19.168720484415221</v>
      </c>
      <c r="H328" s="31">
        <f>IF(AND(12*años+gracia-B327&gt;0,$L$2&lt;&gt;1),K327*F328,0)</f>
        <v>3.8701298543773319</v>
      </c>
      <c r="I328" s="31">
        <f>IF(AND(12*años+gracia-B327&gt;0,$L$2&lt;&gt;1),G328-H328,0)</f>
        <v>15.298590630037889</v>
      </c>
      <c r="J328" s="62"/>
      <c r="K328" s="61">
        <f t="shared" si="53"/>
        <v>1166.8753486125713</v>
      </c>
      <c r="L328" s="61">
        <f>L327*(1+$J$17)^(1/12)</f>
        <v>9238.1494041069418</v>
      </c>
      <c r="M328" s="31">
        <f t="shared" si="54"/>
        <v>12</v>
      </c>
      <c r="N328" s="31">
        <f t="shared" si="55"/>
        <v>0</v>
      </c>
      <c r="O328" s="31">
        <f t="shared" si="56"/>
        <v>-2.25</v>
      </c>
      <c r="P328" s="62"/>
      <c r="Q328" s="31">
        <f t="shared" si="49"/>
        <v>-9.4187204844152213</v>
      </c>
      <c r="R328" s="31">
        <f>SUM($Q$36:Q328)</f>
        <v>-3345.6663814492354</v>
      </c>
      <c r="S328" s="83">
        <f>IF($L$2&lt;&gt;1,-(R328-$R$36)/B328*12/$Q$36,0)</f>
        <v>-0.18982977126802533</v>
      </c>
      <c r="T328" s="31">
        <f>SUMPRODUCT($Q$36:Q328,$E$36:E328)/E328-R328</f>
        <v>-3733.1934502028794</v>
      </c>
      <c r="U328" s="31">
        <f t="shared" si="50"/>
        <v>4725.6076740451354</v>
      </c>
      <c r="V328" s="31">
        <f t="shared" si="51"/>
        <v>5321.007674045135</v>
      </c>
      <c r="W328" s="80" cm="1">
        <f t="array" ref="W328">IF($L$2&lt;&gt;1,IRR(IF(ROW($Q$36:Q328)=ROW(Q328),Q328+L328-K328,$Q$36:Q328),W327/12)*12,0)</f>
        <v>5.5371764794434952E-2</v>
      </c>
      <c r="X328" s="83">
        <f>(1+W328/12)^(B328)-1</f>
        <v>2.8354260493682322</v>
      </c>
    </row>
    <row r="329" spans="2:24" x14ac:dyDescent="0.25">
      <c r="B329" s="33">
        <v>293</v>
      </c>
      <c r="C329" s="81">
        <f t="shared" si="47"/>
        <v>24.416666666666668</v>
      </c>
      <c r="D329" s="105">
        <f t="shared" si="48"/>
        <v>3.9789301544717048E-3</v>
      </c>
      <c r="E329" s="106">
        <f t="shared" si="52"/>
        <v>0.31238674290800283</v>
      </c>
      <c r="F329" s="60">
        <f>rate</f>
        <v>3.2737397821989145E-3</v>
      </c>
      <c r="G329" s="31">
        <f>IF(AND(B328&gt;=gracia,12*años+gracia-B328&gt;0,$L$2&lt;&gt;1),PMT(F328,12*años-B328+gracia,-K328),0)</f>
        <v>19.168720484415225</v>
      </c>
      <c r="H329" s="31">
        <f>IF(AND(12*años+gracia-B328&gt;0,$L$2&lt;&gt;1),K328*F329,0)</f>
        <v>3.8200462496202015</v>
      </c>
      <c r="I329" s="31">
        <f>IF(AND(12*años+gracia-B328&gt;0,$L$2&lt;&gt;1),G329-H329,0)</f>
        <v>15.348674234795023</v>
      </c>
      <c r="J329" s="62"/>
      <c r="K329" s="61">
        <f t="shared" si="53"/>
        <v>1151.5266743777763</v>
      </c>
      <c r="L329" s="61">
        <f>L328*(1+$J$17)^(1/12)</f>
        <v>9260.933172734316</v>
      </c>
      <c r="M329" s="31">
        <f t="shared" si="54"/>
        <v>12</v>
      </c>
      <c r="N329" s="31">
        <f t="shared" si="55"/>
        <v>0</v>
      </c>
      <c r="O329" s="31">
        <f t="shared" si="56"/>
        <v>-2.25</v>
      </c>
      <c r="P329" s="62"/>
      <c r="Q329" s="31">
        <f t="shared" si="49"/>
        <v>-9.4187204844152248</v>
      </c>
      <c r="R329" s="31">
        <f>SUM($Q$36:Q329)</f>
        <v>-3355.0851019336505</v>
      </c>
      <c r="S329" s="83">
        <f>IF($L$2&lt;&gt;1,-(R329-$R$36)/B329*12/$Q$36,0)</f>
        <v>-0.18982977126802533</v>
      </c>
      <c r="T329" s="31">
        <f>SUMPRODUCT($Q$36:Q329,$E$36:E329)/E329-R329</f>
        <v>-3761.3597390463183</v>
      </c>
      <c r="U329" s="31">
        <f t="shared" si="50"/>
        <v>4754.3213964228889</v>
      </c>
      <c r="V329" s="31">
        <f t="shared" si="51"/>
        <v>5349.7213964228886</v>
      </c>
      <c r="W329" s="80" cm="1">
        <f t="array" ref="W329">IF($L$2&lt;&gt;1,IRR(IF(ROW($Q$36:Q329)=ROW(Q329),Q329+L329-K329,$Q$36:Q329),W328/12)*12,0)</f>
        <v>5.5311548369026298E-2</v>
      </c>
      <c r="X329" s="83">
        <f>(1+W329/12)^(B329)-1</f>
        <v>2.847488851894032</v>
      </c>
    </row>
    <row r="330" spans="2:24" x14ac:dyDescent="0.25">
      <c r="B330" s="33">
        <v>294</v>
      </c>
      <c r="C330" s="81">
        <f t="shared" si="47"/>
        <v>24.5</v>
      </c>
      <c r="D330" s="105">
        <f t="shared" si="48"/>
        <v>3.9789301544717048E-3</v>
      </c>
      <c r="E330" s="106">
        <f t="shared" si="52"/>
        <v>0.31114870394734195</v>
      </c>
      <c r="F330" s="60">
        <f>rate</f>
        <v>3.2737397821989145E-3</v>
      </c>
      <c r="G330" s="31">
        <f>IF(AND(B329&gt;=gracia,12*años+gracia-B329&gt;0,$L$2&lt;&gt;1),PMT(F329,12*años-B329+gracia,-K329),0)</f>
        <v>19.168720484415225</v>
      </c>
      <c r="H330" s="31">
        <f>IF(AND(12*años+gracia-B329&gt;0,$L$2&lt;&gt;1),K329*F330,0)</f>
        <v>3.7697986841737419</v>
      </c>
      <c r="I330" s="31">
        <f>IF(AND(12*años+gracia-B329&gt;0,$L$2&lt;&gt;1),G330-H330,0)</f>
        <v>15.398921800241483</v>
      </c>
      <c r="J330" s="62"/>
      <c r="K330" s="61">
        <f t="shared" si="53"/>
        <v>1136.1277525775349</v>
      </c>
      <c r="L330" s="61">
        <f>L329*(1+$J$17)^(1/12)</f>
        <v>9283.7731322815544</v>
      </c>
      <c r="M330" s="31">
        <f t="shared" si="54"/>
        <v>12</v>
      </c>
      <c r="N330" s="31">
        <f t="shared" si="55"/>
        <v>0</v>
      </c>
      <c r="O330" s="31">
        <f t="shared" si="56"/>
        <v>-2.25</v>
      </c>
      <c r="P330" s="62"/>
      <c r="Q330" s="31">
        <f t="shared" si="49"/>
        <v>-9.4187204844152248</v>
      </c>
      <c r="R330" s="31">
        <f>SUM($Q$36:Q330)</f>
        <v>-3364.5038224180657</v>
      </c>
      <c r="S330" s="83">
        <f>IF($L$2&lt;&gt;1,-(R330-$R$36)/B330*12/$Q$36,0)</f>
        <v>-0.18982977126802533</v>
      </c>
      <c r="T330" s="31">
        <f>SUMPRODUCT($Q$36:Q330,$E$36:E330)/E330-R330</f>
        <v>-3789.6755760167284</v>
      </c>
      <c r="U330" s="31">
        <f t="shared" si="50"/>
        <v>4783.1415572859532</v>
      </c>
      <c r="V330" s="31">
        <f t="shared" si="51"/>
        <v>5378.5415572859529</v>
      </c>
      <c r="W330" s="80" cm="1">
        <f t="array" ref="W330">IF($L$2&lt;&gt;1,IRR(IF(ROW($Q$36:Q330)=ROW(Q330),Q330+L330-K330,$Q$36:Q330),W329/12)*12,0)</f>
        <v>5.5251617005474429E-2</v>
      </c>
      <c r="X330" s="83">
        <f>(1+W330/12)^(B330)-1</f>
        <v>2.8595778394548987</v>
      </c>
    </row>
    <row r="331" spans="2:24" x14ac:dyDescent="0.25">
      <c r="B331" s="33">
        <v>295</v>
      </c>
      <c r="C331" s="81">
        <f t="shared" si="47"/>
        <v>24.583333333333332</v>
      </c>
      <c r="D331" s="105">
        <f t="shared" si="48"/>
        <v>3.9789301544717048E-3</v>
      </c>
      <c r="E331" s="106">
        <f t="shared" si="52"/>
        <v>0.30991557153442328</v>
      </c>
      <c r="F331" s="60">
        <f>rate</f>
        <v>3.2737397821989145E-3</v>
      </c>
      <c r="G331" s="31">
        <f>IF(AND(B330&gt;=gracia,12*años+gracia-B330&gt;0,$L$2&lt;&gt;1),PMT(F330,12*años-B330+gracia,-K330),0)</f>
        <v>19.168720484415225</v>
      </c>
      <c r="H331" s="31">
        <f>IF(AND(12*años+gracia-B330&gt;0,$L$2&lt;&gt;1),K330*F331,0)</f>
        <v>3.7193866212733213</v>
      </c>
      <c r="I331" s="31">
        <f>IF(AND(12*años+gracia-B330&gt;0,$L$2&lt;&gt;1),G331-H331,0)</f>
        <v>15.449333863141904</v>
      </c>
      <c r="J331" s="62"/>
      <c r="K331" s="61">
        <f t="shared" si="53"/>
        <v>1120.678418714393</v>
      </c>
      <c r="L331" s="61">
        <f>L330*(1+$J$17)^(1/12)</f>
        <v>9306.6694213306255</v>
      </c>
      <c r="M331" s="31">
        <f t="shared" si="54"/>
        <v>12</v>
      </c>
      <c r="N331" s="31">
        <f t="shared" si="55"/>
        <v>0</v>
      </c>
      <c r="O331" s="31">
        <f t="shared" si="56"/>
        <v>-2.25</v>
      </c>
      <c r="P331" s="62"/>
      <c r="Q331" s="31">
        <f t="shared" si="49"/>
        <v>-9.4187204844152248</v>
      </c>
      <c r="R331" s="31">
        <f>SUM($Q$36:Q331)</f>
        <v>-3373.9225429024809</v>
      </c>
      <c r="S331" s="83">
        <f>IF($L$2&lt;&gt;1,-(R331-$R$36)/B331*12/$Q$36,0)</f>
        <v>-0.18982977126802533</v>
      </c>
      <c r="T331" s="31">
        <f>SUMPRODUCT($Q$36:Q331,$E$36:E331)/E331-R331</f>
        <v>-3818.1415561556614</v>
      </c>
      <c r="U331" s="31">
        <f t="shared" si="50"/>
        <v>4812.0684597137515</v>
      </c>
      <c r="V331" s="31">
        <f t="shared" si="51"/>
        <v>5407.4684597137511</v>
      </c>
      <c r="W331" s="80" cm="1">
        <f t="array" ref="W331">IF($L$2&lt;&gt;1,IRR(IF(ROW($Q$36:Q331)=ROW(Q331),Q331+L331-K331,$Q$36:Q331),W330/12)*12,0)</f>
        <v>5.5191968891743493E-2</v>
      </c>
      <c r="X331" s="83">
        <f>(1+W331/12)^(B331)-1</f>
        <v>2.8716931236676713</v>
      </c>
    </row>
    <row r="332" spans="2:24" x14ac:dyDescent="0.25">
      <c r="B332" s="33">
        <v>296</v>
      </c>
      <c r="C332" s="81">
        <f t="shared" si="47"/>
        <v>24.666666666666668</v>
      </c>
      <c r="D332" s="105">
        <f t="shared" si="48"/>
        <v>3.9789301544717048E-3</v>
      </c>
      <c r="E332" s="106">
        <f t="shared" si="52"/>
        <v>0.30868732622380812</v>
      </c>
      <c r="F332" s="60">
        <f>rate</f>
        <v>3.2737397821989145E-3</v>
      </c>
      <c r="G332" s="31">
        <f>IF(AND(B331&gt;=gracia,12*años+gracia-B331&gt;0,$L$2&lt;&gt;1),PMT(F331,12*años-B331+gracia,-K331),0)</f>
        <v>19.168720484415225</v>
      </c>
      <c r="H332" s="31">
        <f>IF(AND(12*años+gracia-B331&gt;0,$L$2&lt;&gt;1),K331*F332,0)</f>
        <v>3.6688095223970811</v>
      </c>
      <c r="I332" s="31">
        <f>IF(AND(12*años+gracia-B331&gt;0,$L$2&lt;&gt;1),G332-H332,0)</f>
        <v>15.499910962018143</v>
      </c>
      <c r="J332" s="62"/>
      <c r="K332" s="61">
        <f t="shared" si="53"/>
        <v>1105.1785077523748</v>
      </c>
      <c r="L332" s="61">
        <f>L331*(1+$J$17)^(1/12)</f>
        <v>9329.6221788052771</v>
      </c>
      <c r="M332" s="31">
        <f t="shared" si="54"/>
        <v>12</v>
      </c>
      <c r="N332" s="31">
        <f t="shared" si="55"/>
        <v>0</v>
      </c>
      <c r="O332" s="31">
        <f t="shared" si="56"/>
        <v>-2.25</v>
      </c>
      <c r="P332" s="62"/>
      <c r="Q332" s="31">
        <f t="shared" si="49"/>
        <v>-9.4187204844152248</v>
      </c>
      <c r="R332" s="31">
        <f>SUM($Q$36:Q332)</f>
        <v>-3383.3412633868961</v>
      </c>
      <c r="S332" s="83">
        <f>IF($L$2&lt;&gt;1,-(R332-$R$36)/B332*12/$Q$36,0)</f>
        <v>-0.18982977126802533</v>
      </c>
      <c r="T332" s="31">
        <f>SUMPRODUCT($Q$36:Q332,$E$36:E332)/E332-R332</f>
        <v>-3846.7582768722982</v>
      </c>
      <c r="U332" s="31">
        <f t="shared" si="50"/>
        <v>4841.102407666006</v>
      </c>
      <c r="V332" s="31">
        <f t="shared" si="51"/>
        <v>5436.5024076660056</v>
      </c>
      <c r="W332" s="80" cm="1">
        <f t="array" ref="W332">IF($L$2&lt;&gt;1,IRR(IF(ROW($Q$36:Q332)=ROW(Q332),Q332+L332-K332,$Q$36:Q332),W331/12)*12,0)</f>
        <v>5.5132602228859184E-2</v>
      </c>
      <c r="X332" s="83">
        <f>(1+W332/12)^(B332)-1</f>
        <v>2.8838348161403848</v>
      </c>
    </row>
    <row r="333" spans="2:24" x14ac:dyDescent="0.25">
      <c r="B333" s="33">
        <v>297</v>
      </c>
      <c r="C333" s="81">
        <f t="shared" si="47"/>
        <v>24.75</v>
      </c>
      <c r="D333" s="105">
        <f t="shared" si="48"/>
        <v>3.9789301544717048E-3</v>
      </c>
      <c r="E333" s="106">
        <f t="shared" si="52"/>
        <v>0.30746394864712312</v>
      </c>
      <c r="F333" s="60">
        <f>rate</f>
        <v>3.2737397821989145E-3</v>
      </c>
      <c r="G333" s="31">
        <f>IF(AND(B332&gt;=gracia,12*años+gracia-B332&gt;0,$L$2&lt;&gt;1),PMT(F332,12*años-B332+gracia,-K332),0)</f>
        <v>19.168720484415225</v>
      </c>
      <c r="H333" s="31">
        <f>IF(AND(12*años+gracia-B332&gt;0,$L$2&lt;&gt;1),K332*F333,0)</f>
        <v>3.6180668472601809</v>
      </c>
      <c r="I333" s="31">
        <f>IF(AND(12*años+gracia-B332&gt;0,$L$2&lt;&gt;1),G333-H333,0)</f>
        <v>15.550653637155044</v>
      </c>
      <c r="J333" s="62"/>
      <c r="K333" s="61">
        <f t="shared" si="53"/>
        <v>1089.6278541152199</v>
      </c>
      <c r="L333" s="61">
        <f>L332*(1+$J$17)^(1/12)</f>
        <v>9352.6315439718783</v>
      </c>
      <c r="M333" s="31">
        <f t="shared" si="54"/>
        <v>12</v>
      </c>
      <c r="N333" s="31">
        <f t="shared" si="55"/>
        <v>0</v>
      </c>
      <c r="O333" s="31">
        <f t="shared" si="56"/>
        <v>-2.25</v>
      </c>
      <c r="P333" s="62"/>
      <c r="Q333" s="31">
        <f t="shared" si="49"/>
        <v>-9.4187204844152248</v>
      </c>
      <c r="R333" s="31">
        <f>SUM($Q$36:Q333)</f>
        <v>-3392.7599838713113</v>
      </c>
      <c r="S333" s="83">
        <f>IF($L$2&lt;&gt;1,-(R333-$R$36)/B333*12/$Q$36,0)</f>
        <v>-0.18982977126802533</v>
      </c>
      <c r="T333" s="31">
        <f>SUMPRODUCT($Q$36:Q333,$E$36:E333)/E333-R333</f>
        <v>-3875.5263379528678</v>
      </c>
      <c r="U333" s="31">
        <f t="shared" si="50"/>
        <v>4870.2437059853473</v>
      </c>
      <c r="V333" s="31">
        <f t="shared" si="51"/>
        <v>5465.643705985347</v>
      </c>
      <c r="W333" s="80" cm="1">
        <f t="array" ref="W333">IF($L$2&lt;&gt;1,IRR(IF(ROW($Q$36:Q333)=ROW(Q333),Q333+L333-K333,$Q$36:Q333),W332/12)*12,0)</f>
        <v>5.5073515230834147E-2</v>
      </c>
      <c r="X333" s="83">
        <f>(1+W333/12)^(B333)-1</f>
        <v>2.8960030284744418</v>
      </c>
    </row>
    <row r="334" spans="2:24" x14ac:dyDescent="0.25">
      <c r="B334" s="33">
        <v>298</v>
      </c>
      <c r="C334" s="81">
        <f t="shared" si="47"/>
        <v>24.833333333333332</v>
      </c>
      <c r="D334" s="105">
        <f t="shared" si="48"/>
        <v>3.9789301544717048E-3</v>
      </c>
      <c r="E334" s="106">
        <f t="shared" si="52"/>
        <v>0.30624541951275497</v>
      </c>
      <c r="F334" s="60">
        <f>rate</f>
        <v>3.2737397821989145E-3</v>
      </c>
      <c r="G334" s="31">
        <f>IF(AND(B333&gt;=gracia,12*años+gracia-B333&gt;0,$L$2&lt;&gt;1),PMT(F333,12*años-B333+gracia,-K333),0)</f>
        <v>19.168720484415228</v>
      </c>
      <c r="H334" s="31">
        <f>IF(AND(12*años+gracia-B333&gt;0,$L$2&lt;&gt;1),K333*F334,0)</f>
        <v>3.5671580538090306</v>
      </c>
      <c r="I334" s="31">
        <f>IF(AND(12*años+gracia-B333&gt;0,$L$2&lt;&gt;1),G334-H334,0)</f>
        <v>15.601562430606197</v>
      </c>
      <c r="J334" s="62"/>
      <c r="K334" s="61">
        <f t="shared" si="53"/>
        <v>1074.0262916846136</v>
      </c>
      <c r="L334" s="61">
        <f>L333*(1+$J$17)^(1/12)</f>
        <v>9375.6976564402703</v>
      </c>
      <c r="M334" s="31">
        <f t="shared" si="54"/>
        <v>12</v>
      </c>
      <c r="N334" s="31">
        <f t="shared" si="55"/>
        <v>0</v>
      </c>
      <c r="O334" s="31">
        <f t="shared" si="56"/>
        <v>-2.25</v>
      </c>
      <c r="P334" s="62"/>
      <c r="Q334" s="31">
        <f t="shared" si="49"/>
        <v>-9.4187204844152284</v>
      </c>
      <c r="R334" s="31">
        <f>SUM($Q$36:Q334)</f>
        <v>-3402.1787043557265</v>
      </c>
      <c r="S334" s="83">
        <f>IF($L$2&lt;&gt;1,-(R334-$R$36)/B334*12/$Q$36,0)</f>
        <v>-0.18982977126802533</v>
      </c>
      <c r="T334" s="31">
        <f>SUMPRODUCT($Q$36:Q334,$E$36:E334)/E334-R334</f>
        <v>-3904.446341570108</v>
      </c>
      <c r="U334" s="31">
        <f t="shared" si="50"/>
        <v>4899.4926603999302</v>
      </c>
      <c r="V334" s="31">
        <f t="shared" si="51"/>
        <v>5494.8926603999298</v>
      </c>
      <c r="W334" s="80" cm="1">
        <f t="array" ref="W334">IF($L$2&lt;&gt;1,IRR(IF(ROW($Q$36:Q334)=ROW(Q334),Q334+L334-K334,$Q$36:Q334),W333/12)*12,0)</f>
        <v>5.5014706124598689E-2</v>
      </c>
      <c r="X334" s="83">
        <f>(1+W334/12)^(B334)-1</f>
        <v>2.9081978722692576</v>
      </c>
    </row>
    <row r="335" spans="2:24" x14ac:dyDescent="0.25">
      <c r="B335" s="33">
        <v>299</v>
      </c>
      <c r="C335" s="81">
        <f t="shared" si="47"/>
        <v>24.916666666666668</v>
      </c>
      <c r="D335" s="105">
        <f t="shared" si="48"/>
        <v>3.9789301544717048E-3</v>
      </c>
      <c r="E335" s="106">
        <f t="shared" si="52"/>
        <v>0.30503171960554609</v>
      </c>
      <c r="F335" s="60">
        <f>rate</f>
        <v>3.2737397821989145E-3</v>
      </c>
      <c r="G335" s="31">
        <f>IF(AND(B334&gt;=gracia,12*años+gracia-B334&gt;0,$L$2&lt;&gt;1),PMT(F334,12*años-B334+gracia,-K334),0)</f>
        <v>19.168720484415225</v>
      </c>
      <c r="H335" s="31">
        <f>IF(AND(12*años+gracia-B334&gt;0,$L$2&lt;&gt;1),K334*F335,0)</f>
        <v>3.5160825982154948</v>
      </c>
      <c r="I335" s="31">
        <f>IF(AND(12*años+gracia-B334&gt;0,$L$2&lt;&gt;1),G335-H335,0)</f>
        <v>15.652637886199731</v>
      </c>
      <c r="J335" s="62"/>
      <c r="K335" s="61">
        <f t="shared" si="53"/>
        <v>1058.3736537984139</v>
      </c>
      <c r="L335" s="61">
        <f>L334*(1+$J$17)^(1/12)</f>
        <v>9398.8206561646075</v>
      </c>
      <c r="M335" s="31">
        <f t="shared" si="54"/>
        <v>12</v>
      </c>
      <c r="N335" s="31">
        <f t="shared" si="55"/>
        <v>0</v>
      </c>
      <c r="O335" s="31">
        <f t="shared" si="56"/>
        <v>-2.25</v>
      </c>
      <c r="P335" s="62"/>
      <c r="Q335" s="31">
        <f t="shared" si="49"/>
        <v>-9.4187204844152248</v>
      </c>
      <c r="R335" s="31">
        <f>SUM($Q$36:Q335)</f>
        <v>-3411.5974248401417</v>
      </c>
      <c r="S335" s="83">
        <f>IF($L$2&lt;&gt;1,-(R335-$R$36)/B335*12/$Q$36,0)</f>
        <v>-0.18982977126802533</v>
      </c>
      <c r="T335" s="31">
        <f>SUMPRODUCT($Q$36:Q335,$E$36:E335)/E335-R335</f>
        <v>-3933.5188922927609</v>
      </c>
      <c r="U335" s="31">
        <f t="shared" si="50"/>
        <v>4928.8495775260517</v>
      </c>
      <c r="V335" s="31">
        <f t="shared" si="51"/>
        <v>5524.2495775260513</v>
      </c>
      <c r="W335" s="80" cm="1">
        <f t="array" ref="W335">IF($L$2&lt;&gt;1,IRR(IF(ROW($Q$36:Q335)=ROW(Q335),Q335+L335-K335,$Q$36:Q335),W334/12)*12,0)</f>
        <v>5.4956173149931509E-2</v>
      </c>
      <c r="X335" s="83">
        <f>(1+W335/12)^(B335)-1</f>
        <v>2.920419459125533</v>
      </c>
    </row>
    <row r="336" spans="2:24" x14ac:dyDescent="0.25">
      <c r="B336" s="33">
        <v>300</v>
      </c>
      <c r="C336" s="81">
        <f t="shared" si="47"/>
        <v>25</v>
      </c>
      <c r="D336" s="105">
        <f t="shared" si="48"/>
        <v>3.9789301544717048E-3</v>
      </c>
      <c r="E336" s="106">
        <f t="shared" si="52"/>
        <v>0.30382282978649172</v>
      </c>
      <c r="F336" s="60">
        <f>rate</f>
        <v>3.2737397821989145E-3</v>
      </c>
      <c r="G336" s="31">
        <f>IF(AND(B335&gt;=gracia,12*años+gracia-B335&gt;0,$L$2&lt;&gt;1),PMT(F335,12*años-B335+gracia,-K335),0)</f>
        <v>19.168720484415225</v>
      </c>
      <c r="H336" s="31">
        <f>IF(AND(12*años+gracia-B335&gt;0,$L$2&lt;&gt;1),K335*F336,0)</f>
        <v>3.464839934871089</v>
      </c>
      <c r="I336" s="31">
        <f>IF(AND(12*años+gracia-B335&gt;0,$L$2&lt;&gt;1),G336-H336,0)</f>
        <v>15.703880549544136</v>
      </c>
      <c r="J336" s="62"/>
      <c r="K336" s="61">
        <f t="shared" si="53"/>
        <v>1042.6697732488697</v>
      </c>
      <c r="L336" s="61">
        <f>L335*(1+$J$17)^(1/12)</f>
        <v>9422.0006834442102</v>
      </c>
      <c r="M336" s="31">
        <f t="shared" si="54"/>
        <v>12</v>
      </c>
      <c r="N336" s="31">
        <f t="shared" si="55"/>
        <v>0</v>
      </c>
      <c r="O336" s="31">
        <f t="shared" si="56"/>
        <v>-2.25</v>
      </c>
      <c r="P336" s="62"/>
      <c r="Q336" s="31">
        <f t="shared" si="49"/>
        <v>-9.4187204844152248</v>
      </c>
      <c r="R336" s="31">
        <f>SUM($Q$36:Q336)</f>
        <v>-3421.0161453245569</v>
      </c>
      <c r="S336" s="83">
        <f>IF($L$2&lt;&gt;1,-(R336-$R$36)/B336*12/$Q$36,0)</f>
        <v>-0.18982977126802533</v>
      </c>
      <c r="T336" s="31">
        <f>SUMPRODUCT($Q$36:Q336,$E$36:E336)/E336-R336</f>
        <v>-3962.7445970951035</v>
      </c>
      <c r="U336" s="31">
        <f t="shared" si="50"/>
        <v>4958.3147648707836</v>
      </c>
      <c r="V336" s="31">
        <f t="shared" si="51"/>
        <v>5553.7147648707833</v>
      </c>
      <c r="W336" s="80" cm="1">
        <f t="array" ref="W336">IF($L$2&lt;&gt;1,IRR(IF(ROW($Q$36:Q336)=ROW(Q336),Q336+L336-K336,$Q$36:Q336),W335/12)*12,0)</f>
        <v>5.489791455939308E-2</v>
      </c>
      <c r="X336" s="83">
        <f>(1+W336/12)^(B336)-1</f>
        <v>2.9326679006490997</v>
      </c>
    </row>
    <row r="337" spans="2:24" x14ac:dyDescent="0.25">
      <c r="B337" s="33">
        <v>301</v>
      </c>
      <c r="C337" s="81">
        <f t="shared" si="47"/>
        <v>25.083333333333332</v>
      </c>
      <c r="D337" s="105">
        <f t="shared" si="48"/>
        <v>3.9789301544717048E-3</v>
      </c>
      <c r="E337" s="106">
        <f t="shared" si="52"/>
        <v>0.30261873099243797</v>
      </c>
      <c r="F337" s="60">
        <f>rate</f>
        <v>3.2737397821989145E-3</v>
      </c>
      <c r="G337" s="31">
        <f>IF(AND(B336&gt;=gracia,12*años+gracia-B336&gt;0,$L$2&lt;&gt;1),PMT(F336,12*años-B336+gracia,-K336),0)</f>
        <v>19.168720484415225</v>
      </c>
      <c r="H337" s="31">
        <f>IF(AND(12*años+gracia-B336&gt;0,$L$2&lt;&gt;1),K336*F337,0)</f>
        <v>3.4134295163811461</v>
      </c>
      <c r="I337" s="31">
        <f>IF(AND(12*años+gracia-B336&gt;0,$L$2&lt;&gt;1),G337-H337,0)</f>
        <v>15.755290968034078</v>
      </c>
      <c r="J337" s="62"/>
      <c r="K337" s="61">
        <f t="shared" si="53"/>
        <v>1026.9144822808355</v>
      </c>
      <c r="L337" s="61">
        <f>L336*(1+$J$17)^(1/12)</f>
        <v>9445.237878924414</v>
      </c>
      <c r="M337" s="31">
        <f t="shared" si="54"/>
        <v>12</v>
      </c>
      <c r="N337" s="31">
        <f t="shared" si="55"/>
        <v>0</v>
      </c>
      <c r="O337" s="31">
        <f t="shared" si="56"/>
        <v>-2.25</v>
      </c>
      <c r="P337" s="62"/>
      <c r="Q337" s="31">
        <f t="shared" si="49"/>
        <v>-9.4187204844152248</v>
      </c>
      <c r="R337" s="31">
        <f>SUM($Q$36:Q337)</f>
        <v>-3430.4348658089721</v>
      </c>
      <c r="S337" s="83">
        <f>IF($L$2&lt;&gt;1,-(R337-$R$36)/B337*12/$Q$36,0)</f>
        <v>-0.18982977126802533</v>
      </c>
      <c r="T337" s="31">
        <f>SUMPRODUCT($Q$36:Q337,$E$36:E337)/E337-R337</f>
        <v>-3992.1240653665209</v>
      </c>
      <c r="U337" s="31">
        <f t="shared" si="50"/>
        <v>4987.8885308346062</v>
      </c>
      <c r="V337" s="31">
        <f t="shared" si="51"/>
        <v>5583.2885308346058</v>
      </c>
      <c r="W337" s="80" cm="1">
        <f t="array" ref="W337">IF($L$2&lt;&gt;1,IRR(IF(ROW($Q$36:Q337)=ROW(Q337),Q337+L337-K337,$Q$36:Q337),W336/12)*12,0)</f>
        <v>5.4839928618251044E-2</v>
      </c>
      <c r="X337" s="83">
        <f>(1+W337/12)^(B337)-1</f>
        <v>2.9449433084547203</v>
      </c>
    </row>
    <row r="338" spans="2:24" x14ac:dyDescent="0.25">
      <c r="B338" s="33">
        <v>302</v>
      </c>
      <c r="C338" s="81">
        <f t="shared" si="47"/>
        <v>25.166666666666668</v>
      </c>
      <c r="D338" s="105">
        <f t="shared" si="48"/>
        <v>3.9789301544717048E-3</v>
      </c>
      <c r="E338" s="106">
        <f t="shared" si="52"/>
        <v>0.30141940423578134</v>
      </c>
      <c r="F338" s="60">
        <f>rate</f>
        <v>3.2737397821989145E-3</v>
      </c>
      <c r="G338" s="31">
        <f>IF(AND(B337&gt;=gracia,12*años+gracia-B337&gt;0,$L$2&lt;&gt;1),PMT(F337,12*años-B337+gracia,-K337),0)</f>
        <v>19.168720484415225</v>
      </c>
      <c r="H338" s="31">
        <f>IF(AND(12*años+gracia-B337&gt;0,$L$2&lt;&gt;1),K337*F338,0)</f>
        <v>3.3618507935589736</v>
      </c>
      <c r="I338" s="31">
        <f>IF(AND(12*años+gracia-B337&gt;0,$L$2&lt;&gt;1),G338-H338,0)</f>
        <v>15.806869690856251</v>
      </c>
      <c r="J338" s="62"/>
      <c r="K338" s="61">
        <f t="shared" si="53"/>
        <v>1011.1076125899792</v>
      </c>
      <c r="L338" s="61">
        <f>L337*(1+$J$17)^(1/12)</f>
        <v>9468.5323835974232</v>
      </c>
      <c r="M338" s="31">
        <f t="shared" si="54"/>
        <v>12</v>
      </c>
      <c r="N338" s="31">
        <f t="shared" si="55"/>
        <v>0</v>
      </c>
      <c r="O338" s="31">
        <f t="shared" si="56"/>
        <v>-2.25</v>
      </c>
      <c r="P338" s="62"/>
      <c r="Q338" s="31">
        <f t="shared" si="49"/>
        <v>-9.4187204844152248</v>
      </c>
      <c r="R338" s="31">
        <f>SUM($Q$36:Q338)</f>
        <v>-3439.8535862933873</v>
      </c>
      <c r="S338" s="83">
        <f>IF($L$2&lt;&gt;1,-(R338-$R$36)/B338*12/$Q$36,0)</f>
        <v>-0.18982977126802533</v>
      </c>
      <c r="T338" s="31">
        <f>SUMPRODUCT($Q$36:Q338,$E$36:E338)/E338-R338</f>
        <v>-4021.6579089211186</v>
      </c>
      <c r="U338" s="31">
        <f t="shared" si="50"/>
        <v>5017.5711847140565</v>
      </c>
      <c r="V338" s="31">
        <f t="shared" si="51"/>
        <v>5612.9711847140561</v>
      </c>
      <c r="W338" s="80" cm="1">
        <f t="array" ref="W338">IF($L$2&lt;&gt;1,IRR(IF(ROW($Q$36:Q338)=ROW(Q338),Q338+L338-K338,$Q$36:Q338),W337/12)*12,0)</f>
        <v>5.4782213604394947E-2</v>
      </c>
      <c r="X338" s="83">
        <f>(1+W338/12)^(B338)-1</f>
        <v>2.9572457941679526</v>
      </c>
    </row>
    <row r="339" spans="2:24" x14ac:dyDescent="0.25">
      <c r="B339" s="33">
        <v>303</v>
      </c>
      <c r="C339" s="81">
        <f t="shared" si="47"/>
        <v>25.25</v>
      </c>
      <c r="D339" s="105">
        <f t="shared" si="48"/>
        <v>3.9789301544717048E-3</v>
      </c>
      <c r="E339" s="106">
        <f t="shared" si="52"/>
        <v>0.30022483060416927</v>
      </c>
      <c r="F339" s="60">
        <f>rate</f>
        <v>3.2737397821989145E-3</v>
      </c>
      <c r="G339" s="31">
        <f>IF(AND(B338&gt;=gracia,12*años+gracia-B338&gt;0,$L$2&lt;&gt;1),PMT(F338,12*años-B338+gracia,-K338),0)</f>
        <v>19.168720484415225</v>
      </c>
      <c r="H339" s="31">
        <f>IF(AND(12*años+gracia-B338&gt;0,$L$2&lt;&gt;1),K338*F339,0)</f>
        <v>3.310103215419983</v>
      </c>
      <c r="I339" s="31">
        <f>IF(AND(12*años+gracia-B338&gt;0,$L$2&lt;&gt;1),G339-H339,0)</f>
        <v>15.858617268995243</v>
      </c>
      <c r="J339" s="62"/>
      <c r="K339" s="61">
        <f t="shared" si="53"/>
        <v>995.24899532098402</v>
      </c>
      <c r="L339" s="61">
        <f>L338*(1+$J$17)^(1/12)</f>
        <v>9491.8843388031673</v>
      </c>
      <c r="M339" s="31">
        <f t="shared" si="54"/>
        <v>12</v>
      </c>
      <c r="N339" s="31">
        <f t="shared" si="55"/>
        <v>0</v>
      </c>
      <c r="O339" s="31">
        <f t="shared" si="56"/>
        <v>-2.25</v>
      </c>
      <c r="P339" s="62"/>
      <c r="Q339" s="31">
        <f t="shared" si="49"/>
        <v>-9.4187204844152248</v>
      </c>
      <c r="R339" s="31">
        <f>SUM($Q$36:Q339)</f>
        <v>-3449.2723067778024</v>
      </c>
      <c r="S339" s="83">
        <f>IF($L$2&lt;&gt;1,-(R339-$R$36)/B339*12/$Q$36,0)</f>
        <v>-0.18982977126802533</v>
      </c>
      <c r="T339" s="31">
        <f>SUMPRODUCT($Q$36:Q339,$E$36:E339)/E339-R339</f>
        <v>-4051.3467420073648</v>
      </c>
      <c r="U339" s="31">
        <f t="shared" si="50"/>
        <v>5047.3630367043806</v>
      </c>
      <c r="V339" s="31">
        <f t="shared" si="51"/>
        <v>5642.7630367043803</v>
      </c>
      <c r="W339" s="80" cm="1">
        <f t="array" ref="W339">IF($L$2&lt;&gt;1,IRR(IF(ROW($Q$36:Q339)=ROW(Q339),Q339+L339-K339,$Q$36:Q339),W338/12)*12,0)</f>
        <v>5.4724767808282948E-2</v>
      </c>
      <c r="X339" s="83">
        <f>(1+W339/12)^(B339)-1</f>
        <v>2.9695754694310121</v>
      </c>
    </row>
    <row r="340" spans="2:24" x14ac:dyDescent="0.25">
      <c r="B340" s="33">
        <v>304</v>
      </c>
      <c r="C340" s="81">
        <f t="shared" si="47"/>
        <v>25.333333333333332</v>
      </c>
      <c r="D340" s="105">
        <f t="shared" si="48"/>
        <v>3.9789301544717048E-3</v>
      </c>
      <c r="E340" s="106">
        <f t="shared" si="52"/>
        <v>0.29903499126020189</v>
      </c>
      <c r="F340" s="60">
        <f>rate</f>
        <v>3.2737397821989145E-3</v>
      </c>
      <c r="G340" s="31">
        <f>IF(AND(B339&gt;=gracia,12*años+gracia-B339&gt;0,$L$2&lt;&gt;1),PMT(F339,12*años-B339+gracia,-K339),0)</f>
        <v>19.168720484415225</v>
      </c>
      <c r="H340" s="31">
        <f>IF(AND(12*años+gracia-B339&gt;0,$L$2&lt;&gt;1),K339*F340,0)</f>
        <v>3.2581862291758066</v>
      </c>
      <c r="I340" s="31">
        <f>IF(AND(12*años+gracia-B339&gt;0,$L$2&lt;&gt;1),G340-H340,0)</f>
        <v>15.910534255239419</v>
      </c>
      <c r="J340" s="62"/>
      <c r="K340" s="61">
        <f t="shared" si="53"/>
        <v>979.33846106574458</v>
      </c>
      <c r="L340" s="61">
        <f>L339*(1+$J$17)^(1/12)</f>
        <v>9515.2938862301598</v>
      </c>
      <c r="M340" s="31">
        <f t="shared" si="54"/>
        <v>12</v>
      </c>
      <c r="N340" s="31">
        <f t="shared" si="55"/>
        <v>0</v>
      </c>
      <c r="O340" s="31">
        <f t="shared" si="56"/>
        <v>-2.25</v>
      </c>
      <c r="P340" s="62"/>
      <c r="Q340" s="31">
        <f t="shared" si="49"/>
        <v>-9.4187204844152248</v>
      </c>
      <c r="R340" s="31">
        <f>SUM($Q$36:Q340)</f>
        <v>-3458.6910272622176</v>
      </c>
      <c r="S340" s="83">
        <f>IF($L$2&lt;&gt;1,-(R340-$R$36)/B340*12/$Q$36,0)</f>
        <v>-0.18982977126802533</v>
      </c>
      <c r="T340" s="31">
        <f>SUMPRODUCT($Q$36:Q340,$E$36:E340)/E340-R340</f>
        <v>-4081.1911813177799</v>
      </c>
      <c r="U340" s="31">
        <f t="shared" si="50"/>
        <v>5077.2643979021977</v>
      </c>
      <c r="V340" s="31">
        <f t="shared" si="51"/>
        <v>5672.6643979021974</v>
      </c>
      <c r="W340" s="80" cm="1">
        <f t="array" ref="W340">IF($L$2&lt;&gt;1,IRR(IF(ROW($Q$36:Q340)=ROW(Q340),Q340+L340-K340,$Q$36:Q340),W339/12)*12,0)</f>
        <v>5.466758953284323E-2</v>
      </c>
      <c r="X340" s="83">
        <f>(1+W340/12)^(B340)-1</f>
        <v>2.9819324459032996</v>
      </c>
    </row>
    <row r="341" spans="2:24" x14ac:dyDescent="0.25">
      <c r="B341" s="33">
        <v>305</v>
      </c>
      <c r="C341" s="81">
        <f t="shared" si="47"/>
        <v>25.416666666666668</v>
      </c>
      <c r="D341" s="105">
        <f t="shared" si="48"/>
        <v>3.9789301544717048E-3</v>
      </c>
      <c r="E341" s="106">
        <f t="shared" si="52"/>
        <v>0.29784986744113495</v>
      </c>
      <c r="F341" s="60">
        <f>rate</f>
        <v>3.2737397821989145E-3</v>
      </c>
      <c r="G341" s="31">
        <f>IF(AND(B340&gt;=gracia,12*años+gracia-B340&gt;0,$L$2&lt;&gt;1),PMT(F340,12*años-B340+gracia,-K340),0)</f>
        <v>19.168720484415225</v>
      </c>
      <c r="H341" s="31">
        <f>IF(AND(12*años+gracia-B340&gt;0,$L$2&lt;&gt;1),K340*F341,0)</f>
        <v>3.2060992802283907</v>
      </c>
      <c r="I341" s="31">
        <f>IF(AND(12*años+gracia-B340&gt;0,$L$2&lt;&gt;1),G341-H341,0)</f>
        <v>15.962621204186835</v>
      </c>
      <c r="J341" s="62"/>
      <c r="K341" s="61">
        <f t="shared" si="53"/>
        <v>963.37583986155778</v>
      </c>
      <c r="L341" s="61">
        <f>L340*(1+$J$17)^(1/12)</f>
        <v>9538.7611679163547</v>
      </c>
      <c r="M341" s="31">
        <f t="shared" si="54"/>
        <v>12</v>
      </c>
      <c r="N341" s="31">
        <f t="shared" si="55"/>
        <v>0</v>
      </c>
      <c r="O341" s="31">
        <f t="shared" si="56"/>
        <v>-2.25</v>
      </c>
      <c r="P341" s="62"/>
      <c r="Q341" s="31">
        <f t="shared" si="49"/>
        <v>-9.4187204844152248</v>
      </c>
      <c r="R341" s="31">
        <f>SUM($Q$36:Q341)</f>
        <v>-3468.1097477466328</v>
      </c>
      <c r="S341" s="83">
        <f>IF($L$2&lt;&gt;1,-(R341-$R$36)/B341*12/$Q$36,0)</f>
        <v>-0.18982977126802533</v>
      </c>
      <c r="T341" s="31">
        <f>SUMPRODUCT($Q$36:Q341,$E$36:E341)/E341-R341</f>
        <v>-4111.1918459986646</v>
      </c>
      <c r="U341" s="31">
        <f t="shared" si="50"/>
        <v>5107.2755803081636</v>
      </c>
      <c r="V341" s="31">
        <f t="shared" si="51"/>
        <v>5702.6755803081633</v>
      </c>
      <c r="W341" s="80" cm="1">
        <f t="array" ref="W341">IF($L$2&lt;&gt;1,IRR(IF(ROW($Q$36:Q341)=ROW(Q341),Q341+L341-K341,$Q$36:Q341),W340/12)*12,0)</f>
        <v>5.4610677093423377E-2</v>
      </c>
      <c r="X341" s="83">
        <f>(1+W341/12)^(B341)-1</f>
        <v>2.9943168352675422</v>
      </c>
    </row>
    <row r="342" spans="2:24" x14ac:dyDescent="0.25">
      <c r="B342" s="33">
        <v>306</v>
      </c>
      <c r="C342" s="81">
        <f t="shared" si="47"/>
        <v>25.5</v>
      </c>
      <c r="D342" s="105">
        <f t="shared" si="48"/>
        <v>3.9789301544717048E-3</v>
      </c>
      <c r="E342" s="106">
        <f t="shared" si="52"/>
        <v>0.29666944045858407</v>
      </c>
      <c r="F342" s="60">
        <f>rate</f>
        <v>3.2737397821989145E-3</v>
      </c>
      <c r="G342" s="31">
        <f>IF(AND(B341&gt;=gracia,12*años+gracia-B341&gt;0,$L$2&lt;&gt;1),PMT(F341,12*años-B341+gracia,-K341),0)</f>
        <v>19.168720484415225</v>
      </c>
      <c r="H342" s="31">
        <f>IF(AND(12*años+gracia-B341&gt;0,$L$2&lt;&gt;1),K341*F342,0)</f>
        <v>3.1538418121640723</v>
      </c>
      <c r="I342" s="31">
        <f>IF(AND(12*años+gracia-B341&gt;0,$L$2&lt;&gt;1),G342-H342,0)</f>
        <v>16.014878672251154</v>
      </c>
      <c r="J342" s="62"/>
      <c r="K342" s="61">
        <f t="shared" si="53"/>
        <v>947.36096118930664</v>
      </c>
      <c r="L342" s="61">
        <f>L341*(1+$J$17)^(1/12)</f>
        <v>9562.2863262500105</v>
      </c>
      <c r="M342" s="31">
        <f t="shared" si="54"/>
        <v>12</v>
      </c>
      <c r="N342" s="31">
        <f t="shared" si="55"/>
        <v>0</v>
      </c>
      <c r="O342" s="31">
        <f t="shared" si="56"/>
        <v>-2.25</v>
      </c>
      <c r="P342" s="62"/>
      <c r="Q342" s="31">
        <f t="shared" si="49"/>
        <v>-9.4187204844152248</v>
      </c>
      <c r="R342" s="31">
        <f>SUM($Q$36:Q342)</f>
        <v>-3477.528468231048</v>
      </c>
      <c r="S342" s="83">
        <f>IF($L$2&lt;&gt;1,-(R342-$R$36)/B342*12/$Q$36,0)</f>
        <v>-0.18982977126802533</v>
      </c>
      <c r="T342" s="31">
        <f>SUMPRODUCT($Q$36:Q342,$E$36:E342)/E342-R342</f>
        <v>-4141.3493576598539</v>
      </c>
      <c r="U342" s="31">
        <f t="shared" si="50"/>
        <v>5137.3968968296558</v>
      </c>
      <c r="V342" s="31">
        <f t="shared" si="51"/>
        <v>5732.7968968296555</v>
      </c>
      <c r="W342" s="80" cm="1">
        <f t="array" ref="W342">IF($L$2&lt;&gt;1,IRR(IF(ROW($Q$36:Q342)=ROW(Q342),Q342+L342-K342,$Q$36:Q342),W341/12)*12,0)</f>
        <v>5.4554028817694444E-2</v>
      </c>
      <c r="X342" s="83">
        <f>(1+W342/12)^(B342)-1</f>
        <v>3.0067287492311507</v>
      </c>
    </row>
    <row r="343" spans="2:24" x14ac:dyDescent="0.25">
      <c r="B343" s="33">
        <v>307</v>
      </c>
      <c r="C343" s="81">
        <f t="shared" si="47"/>
        <v>25.583333333333332</v>
      </c>
      <c r="D343" s="105">
        <f t="shared" si="48"/>
        <v>3.9789301544717048E-3</v>
      </c>
      <c r="E343" s="106">
        <f t="shared" si="52"/>
        <v>0.29549369169822981</v>
      </c>
      <c r="F343" s="60">
        <f>rate</f>
        <v>3.2737397821989145E-3</v>
      </c>
      <c r="G343" s="31">
        <f>IF(AND(B342&gt;=gracia,12*años+gracia-B342&gt;0,$L$2&lt;&gt;1),PMT(F342,12*años-B342+gracia,-K342),0)</f>
        <v>19.168720484415225</v>
      </c>
      <c r="H343" s="31">
        <f>IF(AND(12*años+gracia-B342&gt;0,$L$2&lt;&gt;1),K342*F343,0)</f>
        <v>3.1014132667476351</v>
      </c>
      <c r="I343" s="31">
        <f>IF(AND(12*años+gracia-B342&gt;0,$L$2&lt;&gt;1),G343-H343,0)</f>
        <v>16.06730721766759</v>
      </c>
      <c r="J343" s="62"/>
      <c r="K343" s="61">
        <f t="shared" si="53"/>
        <v>931.29365397163906</v>
      </c>
      <c r="L343" s="61">
        <f>L342*(1+$J$17)^(1/12)</f>
        <v>9585.8695039705544</v>
      </c>
      <c r="M343" s="31">
        <f t="shared" si="54"/>
        <v>12</v>
      </c>
      <c r="N343" s="31">
        <f t="shared" si="55"/>
        <v>0</v>
      </c>
      <c r="O343" s="31">
        <f t="shared" si="56"/>
        <v>-2.25</v>
      </c>
      <c r="P343" s="62"/>
      <c r="Q343" s="31">
        <f t="shared" si="49"/>
        <v>-9.4187204844152248</v>
      </c>
      <c r="R343" s="31">
        <f>SUM($Q$36:Q343)</f>
        <v>-3486.9471887154632</v>
      </c>
      <c r="S343" s="83">
        <f>IF($L$2&lt;&gt;1,-(R343-$R$36)/B343*12/$Q$36,0)</f>
        <v>-0.18982977126802533</v>
      </c>
      <c r="T343" s="31">
        <f>SUMPRODUCT($Q$36:Q343,$E$36:E343)/E343-R343</f>
        <v>-4171.6643403845255</v>
      </c>
      <c r="U343" s="31">
        <f t="shared" si="50"/>
        <v>5167.6286612834519</v>
      </c>
      <c r="V343" s="31">
        <f t="shared" si="51"/>
        <v>5763.0286612834516</v>
      </c>
      <c r="W343" s="80" cm="1">
        <f t="array" ref="W343">IF($L$2&lt;&gt;1,IRR(IF(ROW($Q$36:Q343)=ROW(Q343),Q343+L343-K343,$Q$36:Q343),W342/12)*12,0)</f>
        <v>5.4497643045587019E-2</v>
      </c>
      <c r="X343" s="83">
        <f>(1+W343/12)^(B343)-1</f>
        <v>3.0191682995307039</v>
      </c>
    </row>
    <row r="344" spans="2:24" x14ac:dyDescent="0.25">
      <c r="B344" s="33">
        <v>308</v>
      </c>
      <c r="C344" s="81">
        <f t="shared" si="47"/>
        <v>25.666666666666668</v>
      </c>
      <c r="D344" s="105">
        <f t="shared" si="48"/>
        <v>3.9789301544717048E-3</v>
      </c>
      <c r="E344" s="106">
        <f t="shared" si="52"/>
        <v>0.29432260261952436</v>
      </c>
      <c r="F344" s="60">
        <f>rate</f>
        <v>3.2737397821989145E-3</v>
      </c>
      <c r="G344" s="31">
        <f>IF(AND(B343&gt;=gracia,12*años+gracia-B343&gt;0,$L$2&lt;&gt;1),PMT(F343,12*años-B343+gracia,-K343),0)</f>
        <v>19.168720484415225</v>
      </c>
      <c r="H344" s="31">
        <f>IF(AND(12*años+gracia-B343&gt;0,$L$2&lt;&gt;1),K343*F344,0)</f>
        <v>3.048813083916345</v>
      </c>
      <c r="I344" s="31">
        <f>IF(AND(12*años+gracia-B343&gt;0,$L$2&lt;&gt;1),G344-H344,0)</f>
        <v>16.119907400498882</v>
      </c>
      <c r="J344" s="62"/>
      <c r="K344" s="61">
        <f t="shared" si="53"/>
        <v>915.17374657114021</v>
      </c>
      <c r="L344" s="61">
        <f>L343*(1+$J$17)^(1/12)</f>
        <v>9609.5108441694447</v>
      </c>
      <c r="M344" s="31">
        <f t="shared" si="54"/>
        <v>12</v>
      </c>
      <c r="N344" s="31">
        <f t="shared" si="55"/>
        <v>0</v>
      </c>
      <c r="O344" s="31">
        <f t="shared" si="56"/>
        <v>-2.25</v>
      </c>
      <c r="P344" s="62"/>
      <c r="Q344" s="31">
        <f t="shared" si="49"/>
        <v>-9.4187204844152248</v>
      </c>
      <c r="R344" s="31">
        <f>SUM($Q$36:Q344)</f>
        <v>-3496.3659091998784</v>
      </c>
      <c r="S344" s="83">
        <f>IF($L$2&lt;&gt;1,-(R344-$R$36)/B344*12/$Q$36,0)</f>
        <v>-0.18982977126802533</v>
      </c>
      <c r="T344" s="31">
        <f>SUMPRODUCT($Q$36:Q344,$E$36:E344)/E344-R344</f>
        <v>-4202.1374207390472</v>
      </c>
      <c r="U344" s="31">
        <f t="shared" si="50"/>
        <v>5197.9711883984264</v>
      </c>
      <c r="V344" s="31">
        <f t="shared" si="51"/>
        <v>5793.3711883984261</v>
      </c>
      <c r="W344" s="80" cm="1">
        <f t="array" ref="W344">IF($L$2&lt;&gt;1,IRR(IF(ROW($Q$36:Q344)=ROW(Q344),Q344+L344-K344,$Q$36:Q344),W343/12)*12,0)</f>
        <v>5.444151812920861E-2</v>
      </c>
      <c r="X344" s="83">
        <f>(1+W344/12)^(B344)-1</f>
        <v>3.0316355979342209</v>
      </c>
    </row>
    <row r="345" spans="2:24" x14ac:dyDescent="0.25">
      <c r="B345" s="33">
        <v>309</v>
      </c>
      <c r="C345" s="81">
        <f t="shared" si="47"/>
        <v>25.75</v>
      </c>
      <c r="D345" s="105">
        <f t="shared" si="48"/>
        <v>3.9789301544717048E-3</v>
      </c>
      <c r="E345" s="106">
        <f t="shared" si="52"/>
        <v>0.29315615475539913</v>
      </c>
      <c r="F345" s="60">
        <f>rate</f>
        <v>3.2737397821989145E-3</v>
      </c>
      <c r="G345" s="31">
        <f>IF(AND(B344&gt;=gracia,12*años+gracia-B344&gt;0,$L$2&lt;&gt;1),PMT(F344,12*años-B344+gracia,-K344),0)</f>
        <v>19.168720484415225</v>
      </c>
      <c r="H345" s="31">
        <f>IF(AND(12*años+gracia-B344&gt;0,$L$2&lt;&gt;1),K344*F345,0)</f>
        <v>2.996040701773969</v>
      </c>
      <c r="I345" s="31">
        <f>IF(AND(12*años+gracia-B344&gt;0,$L$2&lt;&gt;1),G345-H345,0)</f>
        <v>16.172679782641257</v>
      </c>
      <c r="J345" s="62"/>
      <c r="K345" s="61">
        <f t="shared" si="53"/>
        <v>899.00106678849897</v>
      </c>
      <c r="L345" s="61">
        <f>L344*(1+$J$17)^(1/12)</f>
        <v>9633.2104902910451</v>
      </c>
      <c r="M345" s="31">
        <f t="shared" si="54"/>
        <v>12</v>
      </c>
      <c r="N345" s="31">
        <f t="shared" si="55"/>
        <v>0</v>
      </c>
      <c r="O345" s="31">
        <f t="shared" si="56"/>
        <v>-2.25</v>
      </c>
      <c r="P345" s="62"/>
      <c r="Q345" s="31">
        <f t="shared" si="49"/>
        <v>-9.4187204844152248</v>
      </c>
      <c r="R345" s="31">
        <f>SUM($Q$36:Q345)</f>
        <v>-3505.7846296842936</v>
      </c>
      <c r="S345" s="83">
        <f>IF($L$2&lt;&gt;1,-(R345-$R$36)/B345*12/$Q$36,0)</f>
        <v>-0.18982977126802533</v>
      </c>
      <c r="T345" s="31">
        <f>SUMPRODUCT($Q$36:Q345,$E$36:E345)/E345-R345</f>
        <v>-4232.7692277828419</v>
      </c>
      <c r="U345" s="31">
        <f t="shared" si="50"/>
        <v>5228.4247938182525</v>
      </c>
      <c r="V345" s="31">
        <f t="shared" si="51"/>
        <v>5823.8247938182521</v>
      </c>
      <c r="W345" s="80" cm="1">
        <f t="array" ref="W345">IF($L$2&lt;&gt;1,IRR(IF(ROW($Q$36:Q345)=ROW(Q345),Q345+L345-K345,$Q$36:Q345),W344/12)*12,0)</f>
        <v>5.4385652432769049E-2</v>
      </c>
      <c r="X345" s="83">
        <f>(1+W345/12)^(B345)-1</f>
        <v>3.0441307562455302</v>
      </c>
    </row>
    <row r="346" spans="2:24" x14ac:dyDescent="0.25">
      <c r="B346" s="33">
        <v>310</v>
      </c>
      <c r="C346" s="81">
        <f t="shared" si="47"/>
        <v>25.833333333333332</v>
      </c>
      <c r="D346" s="105">
        <f t="shared" si="48"/>
        <v>3.9789301544717048E-3</v>
      </c>
      <c r="E346" s="106">
        <f t="shared" si="52"/>
        <v>0.29199432971197342</v>
      </c>
      <c r="F346" s="60">
        <f>rate</f>
        <v>3.2737397821989145E-3</v>
      </c>
      <c r="G346" s="31">
        <f>IF(AND(B345&gt;=gracia,12*años+gracia-B345&gt;0,$L$2&lt;&gt;1),PMT(F345,12*años-B345+gracia,-K345),0)</f>
        <v>19.168720484415225</v>
      </c>
      <c r="H346" s="31">
        <f>IF(AND(12*años+gracia-B345&gt;0,$L$2&lt;&gt;1),K345*F346,0)</f>
        <v>2.9430955565847725</v>
      </c>
      <c r="I346" s="31">
        <f>IF(AND(12*años+gracia-B345&gt;0,$L$2&lt;&gt;1),G346-H346,0)</f>
        <v>16.225624927830452</v>
      </c>
      <c r="J346" s="62"/>
      <c r="K346" s="61">
        <f t="shared" si="53"/>
        <v>882.77544186066848</v>
      </c>
      <c r="L346" s="61">
        <f>L345*(1+$J$17)^(1/12)</f>
        <v>9656.9685861334892</v>
      </c>
      <c r="M346" s="31">
        <f t="shared" si="54"/>
        <v>12</v>
      </c>
      <c r="N346" s="31">
        <f t="shared" si="55"/>
        <v>0</v>
      </c>
      <c r="O346" s="31">
        <f t="shared" si="56"/>
        <v>-2.25</v>
      </c>
      <c r="P346" s="62"/>
      <c r="Q346" s="31">
        <f t="shared" si="49"/>
        <v>-9.4187204844152248</v>
      </c>
      <c r="R346" s="31">
        <f>SUM($Q$36:Q346)</f>
        <v>-3515.2033501687088</v>
      </c>
      <c r="S346" s="83">
        <f>IF($L$2&lt;&gt;1,-(R346-$R$36)/B346*12/$Q$36,0)</f>
        <v>-0.18982977126802533</v>
      </c>
      <c r="T346" s="31">
        <f>SUMPRODUCT($Q$36:Q346,$E$36:E346)/E346-R346</f>
        <v>-4263.56039307832</v>
      </c>
      <c r="U346" s="31">
        <f t="shared" si="50"/>
        <v>5258.9897941041118</v>
      </c>
      <c r="V346" s="31">
        <f t="shared" si="51"/>
        <v>5854.3897941041114</v>
      </c>
      <c r="W346" s="80" cm="1">
        <f t="array" ref="W346">IF($L$2&lt;&gt;1,IRR(IF(ROW($Q$36:Q346)=ROW(Q346),Q346+L346-K346,$Q$36:Q346),W345/12)*12,0)</f>
        <v>5.4330044332497884E-2</v>
      </c>
      <c r="X346" s="83">
        <f>(1+W346/12)^(B346)-1</f>
        <v>3.0566538863060106</v>
      </c>
    </row>
    <row r="347" spans="2:24" x14ac:dyDescent="0.25">
      <c r="B347" s="33">
        <v>311</v>
      </c>
      <c r="C347" s="81">
        <f t="shared" si="47"/>
        <v>25.916666666666668</v>
      </c>
      <c r="D347" s="105">
        <f t="shared" si="48"/>
        <v>3.9789301544717048E-3</v>
      </c>
      <c r="E347" s="106">
        <f t="shared" si="52"/>
        <v>0.29083710916826444</v>
      </c>
      <c r="F347" s="60">
        <f>rate</f>
        <v>3.2737397821989145E-3</v>
      </c>
      <c r="G347" s="31">
        <f>IF(AND(B346&gt;=gracia,12*años+gracia-B346&gt;0,$L$2&lt;&gt;1),PMT(F346,12*años-B346+gracia,-K346),0)</f>
        <v>19.168720484415225</v>
      </c>
      <c r="H347" s="31">
        <f>IF(AND(12*años+gracia-B346&gt;0,$L$2&lt;&gt;1),K346*F347,0)</f>
        <v>2.8899770827674955</v>
      </c>
      <c r="I347" s="31">
        <f>IF(AND(12*años+gracia-B346&gt;0,$L$2&lt;&gt;1),G347-H347,0)</f>
        <v>16.278743401647731</v>
      </c>
      <c r="J347" s="62"/>
      <c r="K347" s="61">
        <f t="shared" si="53"/>
        <v>866.49669845902076</v>
      </c>
      <c r="L347" s="61">
        <f>L346*(1+$J$17)^(1/12)</f>
        <v>9680.7852758495574</v>
      </c>
      <c r="M347" s="31">
        <f t="shared" si="54"/>
        <v>12</v>
      </c>
      <c r="N347" s="31">
        <f t="shared" si="55"/>
        <v>0</v>
      </c>
      <c r="O347" s="31">
        <f t="shared" si="56"/>
        <v>-2.25</v>
      </c>
      <c r="P347" s="62"/>
      <c r="Q347" s="31">
        <f t="shared" si="49"/>
        <v>-9.4187204844152248</v>
      </c>
      <c r="R347" s="31">
        <f>SUM($Q$36:Q347)</f>
        <v>-3524.622070653124</v>
      </c>
      <c r="S347" s="83">
        <f>IF($L$2&lt;&gt;1,-(R347-$R$36)/B347*12/$Q$36,0)</f>
        <v>-0.18982977126802533</v>
      </c>
      <c r="T347" s="31">
        <f>SUMPRODUCT($Q$36:Q347,$E$36:E347)/E347-R347</f>
        <v>-4294.5115507008377</v>
      </c>
      <c r="U347" s="31">
        <f t="shared" si="50"/>
        <v>5289.6665067374124</v>
      </c>
      <c r="V347" s="31">
        <f t="shared" si="51"/>
        <v>5885.0665067374121</v>
      </c>
      <c r="W347" s="80" cm="1">
        <f t="array" ref="W347">IF($L$2&lt;&gt;1,IRR(IF(ROW($Q$36:Q347)=ROW(Q347),Q347+L347-K347,$Q$36:Q347),W346/12)*12,0)</f>
        <v>5.4274692216577769E-2</v>
      </c>
      <c r="X347" s="83">
        <f>(1+W347/12)^(B347)-1</f>
        <v>3.0692050999994285</v>
      </c>
    </row>
    <row r="348" spans="2:24" x14ac:dyDescent="0.25">
      <c r="B348" s="33">
        <v>312</v>
      </c>
      <c r="C348" s="81">
        <f t="shared" si="47"/>
        <v>26</v>
      </c>
      <c r="D348" s="105">
        <f t="shared" si="48"/>
        <v>3.9789301544717048E-3</v>
      </c>
      <c r="E348" s="106">
        <f t="shared" si="52"/>
        <v>0.28968447487589843</v>
      </c>
      <c r="F348" s="60">
        <f>rate</f>
        <v>3.2737397821989145E-3</v>
      </c>
      <c r="G348" s="31">
        <f>IF(AND(B347&gt;=gracia,12*años+gracia-B347&gt;0,$L$2&lt;&gt;1),PMT(F347,12*años-B347+gracia,-K347),0)</f>
        <v>19.168720484415225</v>
      </c>
      <c r="H348" s="31">
        <f>IF(AND(12*años+gracia-B347&gt;0,$L$2&lt;&gt;1),K347*F348,0)</f>
        <v>2.8366847128893129</v>
      </c>
      <c r="I348" s="31">
        <f>IF(AND(12*años+gracia-B347&gt;0,$L$2&lt;&gt;1),G348-H348,0)</f>
        <v>16.332035771525913</v>
      </c>
      <c r="J348" s="62"/>
      <c r="K348" s="61">
        <f t="shared" si="53"/>
        <v>850.1646626874948</v>
      </c>
      <c r="L348" s="61">
        <f>L347*(1+$J$17)^(1/12)</f>
        <v>9704.6607039475475</v>
      </c>
      <c r="M348" s="31">
        <f t="shared" si="54"/>
        <v>12</v>
      </c>
      <c r="N348" s="31">
        <f t="shared" si="55"/>
        <v>0</v>
      </c>
      <c r="O348" s="31">
        <f t="shared" si="56"/>
        <v>-2.25</v>
      </c>
      <c r="P348" s="62"/>
      <c r="Q348" s="31">
        <f t="shared" si="49"/>
        <v>-9.4187204844152248</v>
      </c>
      <c r="R348" s="31">
        <f>SUM($Q$36:Q348)</f>
        <v>-3534.0407911375391</v>
      </c>
      <c r="S348" s="83">
        <f>IF($L$2&lt;&gt;1,-(R348-$R$36)/B348*12/$Q$36,0)</f>
        <v>-0.18982977126802533</v>
      </c>
      <c r="T348" s="31">
        <f>SUMPRODUCT($Q$36:Q348,$E$36:E348)/E348-R348</f>
        <v>-4325.6233372486859</v>
      </c>
      <c r="U348" s="31">
        <f t="shared" si="50"/>
        <v>5320.4552501225135</v>
      </c>
      <c r="V348" s="31">
        <f t="shared" si="51"/>
        <v>5915.8552501225131</v>
      </c>
      <c r="W348" s="80" cm="1">
        <f t="array" ref="W348">IF($L$2&lt;&gt;1,IRR(IF(ROW($Q$36:Q348)=ROW(Q348),Q348+L348-K348,$Q$36:Q348),W347/12)*12,0)</f>
        <v>5.4219594485048539E-2</v>
      </c>
      <c r="X348" s="83">
        <f>(1+W348/12)^(B348)-1</f>
        <v>3.0817845092530574</v>
      </c>
    </row>
    <row r="349" spans="2:24" x14ac:dyDescent="0.25">
      <c r="B349" s="33">
        <v>313</v>
      </c>
      <c r="C349" s="81">
        <f t="shared" si="47"/>
        <v>26.083333333333332</v>
      </c>
      <c r="D349" s="105">
        <f t="shared" si="48"/>
        <v>3.9789301544717048E-3</v>
      </c>
      <c r="E349" s="106">
        <f t="shared" si="52"/>
        <v>0.28853640865882285</v>
      </c>
      <c r="F349" s="60">
        <f>rate</f>
        <v>3.2737397821989145E-3</v>
      </c>
      <c r="G349" s="31">
        <f>IF(AND(B348&gt;=gracia,12*años+gracia-B348&gt;0,$L$2&lt;&gt;1),PMT(F348,12*años-B348+gracia,-K348),0)</f>
        <v>19.168720484415225</v>
      </c>
      <c r="H349" s="31">
        <f>IF(AND(12*años+gracia-B348&gt;0,$L$2&lt;&gt;1),K348*F349,0)</f>
        <v>2.7832178776597729</v>
      </c>
      <c r="I349" s="31">
        <f>IF(AND(12*años+gracia-B348&gt;0,$L$2&lt;&gt;1),G349-H349,0)</f>
        <v>16.385502606755452</v>
      </c>
      <c r="J349" s="62"/>
      <c r="K349" s="61">
        <f t="shared" si="53"/>
        <v>833.7791600807393</v>
      </c>
      <c r="L349" s="61">
        <f>L348*(1+$J$17)^(1/12)</f>
        <v>9728.5950152921559</v>
      </c>
      <c r="M349" s="31">
        <f t="shared" si="54"/>
        <v>12</v>
      </c>
      <c r="N349" s="31">
        <f t="shared" si="55"/>
        <v>0</v>
      </c>
      <c r="O349" s="31">
        <f t="shared" si="56"/>
        <v>-2.25</v>
      </c>
      <c r="P349" s="62"/>
      <c r="Q349" s="31">
        <f t="shared" si="49"/>
        <v>-9.4187204844152248</v>
      </c>
      <c r="R349" s="31">
        <f>SUM($Q$36:Q349)</f>
        <v>-3543.4595116219543</v>
      </c>
      <c r="S349" s="83">
        <f>IF($L$2&lt;&gt;1,-(R349-$R$36)/B349*12/$Q$36,0)</f>
        <v>-0.18982977126802533</v>
      </c>
      <c r="T349" s="31">
        <f>SUMPRODUCT($Q$36:Q349,$E$36:E349)/E349-R349</f>
        <v>-4356.8963918531417</v>
      </c>
      <c r="U349" s="31">
        <f t="shared" si="50"/>
        <v>5351.3563435894621</v>
      </c>
      <c r="V349" s="31">
        <f t="shared" si="51"/>
        <v>5946.7563435894617</v>
      </c>
      <c r="W349" s="80" cm="1">
        <f t="array" ref="W349">IF($L$2&lt;&gt;1,IRR(IF(ROW($Q$36:Q349)=ROW(Q349),Q349+L349-K349,$Q$36:Q349),W348/12)*12,0)</f>
        <v>5.4164749549748592E-2</v>
      </c>
      <c r="X349" s="83">
        <f>(1+W349/12)^(B349)-1</f>
        <v>3.094392226042852</v>
      </c>
    </row>
    <row r="350" spans="2:24" x14ac:dyDescent="0.25">
      <c r="B350" s="33">
        <v>314</v>
      </c>
      <c r="C350" s="81">
        <f t="shared" si="47"/>
        <v>26.166666666666668</v>
      </c>
      <c r="D350" s="105">
        <f t="shared" si="48"/>
        <v>3.9789301544717048E-3</v>
      </c>
      <c r="E350" s="106">
        <f t="shared" si="52"/>
        <v>0.28739289241301985</v>
      </c>
      <c r="F350" s="60">
        <f>rate</f>
        <v>3.2737397821989145E-3</v>
      </c>
      <c r="G350" s="31">
        <f>IF(AND(B349&gt;=gracia,12*años+gracia-B349&gt;0,$L$2&lt;&gt;1),PMT(F349,12*años-B349+gracia,-K349),0)</f>
        <v>19.168720484415221</v>
      </c>
      <c r="H350" s="31">
        <f>IF(AND(12*años+gracia-B349&gt;0,$L$2&lt;&gt;1),K349*F350,0)</f>
        <v>2.7295760059247134</v>
      </c>
      <c r="I350" s="31">
        <f>IF(AND(12*años+gracia-B349&gt;0,$L$2&lt;&gt;1),G350-H350,0)</f>
        <v>16.439144478490508</v>
      </c>
      <c r="J350" s="62"/>
      <c r="K350" s="61">
        <f t="shared" si="53"/>
        <v>817.34001560224874</v>
      </c>
      <c r="L350" s="61">
        <f>L349*(1+$J$17)^(1/12)</f>
        <v>9752.5883551053557</v>
      </c>
      <c r="M350" s="31">
        <f t="shared" si="54"/>
        <v>12</v>
      </c>
      <c r="N350" s="31">
        <f t="shared" si="55"/>
        <v>0</v>
      </c>
      <c r="O350" s="31">
        <f t="shared" si="56"/>
        <v>-2.25</v>
      </c>
      <c r="P350" s="62"/>
      <c r="Q350" s="31">
        <f t="shared" si="49"/>
        <v>-9.4187204844152213</v>
      </c>
      <c r="R350" s="31">
        <f>SUM($Q$36:Q350)</f>
        <v>-3552.8782321063695</v>
      </c>
      <c r="S350" s="83">
        <f>IF($L$2&lt;&gt;1,-(R350-$R$36)/B350*12/$Q$36,0)</f>
        <v>-0.18982977126802533</v>
      </c>
      <c r="T350" s="31">
        <f>SUMPRODUCT($Q$36:Q350,$E$36:E350)/E350-R350</f>
        <v>-4388.331356188537</v>
      </c>
      <c r="U350" s="31">
        <f t="shared" si="50"/>
        <v>5382.3701073967377</v>
      </c>
      <c r="V350" s="31">
        <f t="shared" si="51"/>
        <v>5977.7701073967373</v>
      </c>
      <c r="W350" s="80" cm="1">
        <f t="array" ref="W350">IF($L$2&lt;&gt;1,IRR(IF(ROW($Q$36:Q350)=ROW(Q350),Q350+L350-K350,$Q$36:Q350),W349/12)*12,0)</f>
        <v>5.4110155834226958E-2</v>
      </c>
      <c r="X350" s="83">
        <f>(1+W350/12)^(B350)-1</f>
        <v>3.1070283623957771</v>
      </c>
    </row>
    <row r="351" spans="2:24" x14ac:dyDescent="0.25">
      <c r="B351" s="33">
        <v>315</v>
      </c>
      <c r="C351" s="81">
        <f t="shared" si="47"/>
        <v>26.25</v>
      </c>
      <c r="D351" s="105">
        <f t="shared" si="48"/>
        <v>3.9789301544717048E-3</v>
      </c>
      <c r="E351" s="106">
        <f t="shared" si="52"/>
        <v>0.28625390810622064</v>
      </c>
      <c r="F351" s="60">
        <f>rate</f>
        <v>3.2737397821989145E-3</v>
      </c>
      <c r="G351" s="31">
        <f>IF(AND(B350&gt;=gracia,12*años+gracia-B350&gt;0,$L$2&lt;&gt;1),PMT(F350,12*años-B350+gracia,-K350),0)</f>
        <v>19.168720484415221</v>
      </c>
      <c r="H351" s="31">
        <f>IF(AND(12*años+gracia-B350&gt;0,$L$2&lt;&gt;1),K350*F351,0)</f>
        <v>2.675758524660163</v>
      </c>
      <c r="I351" s="31">
        <f>IF(AND(12*años+gracia-B350&gt;0,$L$2&lt;&gt;1),G351-H351,0)</f>
        <v>16.492961959755057</v>
      </c>
      <c r="J351" s="62"/>
      <c r="K351" s="61">
        <f t="shared" si="53"/>
        <v>800.84705364249373</v>
      </c>
      <c r="L351" s="61">
        <f>L350*(1+$J$17)^(1/12)</f>
        <v>9776.6408689672735</v>
      </c>
      <c r="M351" s="31">
        <f t="shared" si="54"/>
        <v>12</v>
      </c>
      <c r="N351" s="31">
        <f t="shared" si="55"/>
        <v>0</v>
      </c>
      <c r="O351" s="31">
        <f t="shared" si="56"/>
        <v>-2.25</v>
      </c>
      <c r="P351" s="62"/>
      <c r="Q351" s="31">
        <f t="shared" si="49"/>
        <v>-9.4187204844152213</v>
      </c>
      <c r="R351" s="31">
        <f>SUM($Q$36:Q351)</f>
        <v>-3562.2969525907847</v>
      </c>
      <c r="S351" s="83">
        <f>IF($L$2&lt;&gt;1,-(R351-$R$36)/B351*12/$Q$36,0)</f>
        <v>-0.18982977126802533</v>
      </c>
      <c r="T351" s="31">
        <f>SUMPRODUCT($Q$36:Q351,$E$36:E351)/E351-R351</f>
        <v>-4419.9288744823834</v>
      </c>
      <c r="U351" s="31">
        <f t="shared" si="50"/>
        <v>5413.4968627339949</v>
      </c>
      <c r="V351" s="31">
        <f t="shared" si="51"/>
        <v>6008.8968627339946</v>
      </c>
      <c r="W351" s="80" cm="1">
        <f t="array" ref="W351">IF($L$2&lt;&gt;1,IRR(IF(ROW($Q$36:Q351)=ROW(Q351),Q351+L351-K351,$Q$36:Q351),W350/12)*12,0)</f>
        <v>5.4055811773658036E-2</v>
      </c>
      <c r="X351" s="83">
        <f>(1+W351/12)^(B351)-1</f>
        <v>3.119693030391872</v>
      </c>
    </row>
    <row r="352" spans="2:24" x14ac:dyDescent="0.25">
      <c r="B352" s="33">
        <v>316</v>
      </c>
      <c r="C352" s="81">
        <f t="shared" si="47"/>
        <v>26.333333333333332</v>
      </c>
      <c r="D352" s="105">
        <f t="shared" si="48"/>
        <v>3.9789301544717048E-3</v>
      </c>
      <c r="E352" s="106">
        <f t="shared" si="52"/>
        <v>0.28511943777762128</v>
      </c>
      <c r="F352" s="60">
        <f>rate</f>
        <v>3.2737397821989145E-3</v>
      </c>
      <c r="G352" s="31">
        <f>IF(AND(B351&gt;=gracia,12*años+gracia-B351&gt;0,$L$2&lt;&gt;1),PMT(F351,12*años-B351+gracia,-K351),0)</f>
        <v>19.168720484415221</v>
      </c>
      <c r="H352" s="31">
        <f>IF(AND(12*años+gracia-B351&gt;0,$L$2&lt;&gt;1),K351*F352,0)</f>
        <v>2.6217648589662197</v>
      </c>
      <c r="I352" s="31">
        <f>IF(AND(12*años+gracia-B351&gt;0,$L$2&lt;&gt;1),G352-H352,0)</f>
        <v>16.546955625449002</v>
      </c>
      <c r="J352" s="62"/>
      <c r="K352" s="61">
        <f t="shared" si="53"/>
        <v>784.30009801704477</v>
      </c>
      <c r="L352" s="61">
        <f>L351*(1+$J$17)^(1/12)</f>
        <v>9800.7527028170771</v>
      </c>
      <c r="M352" s="31">
        <f t="shared" si="54"/>
        <v>12</v>
      </c>
      <c r="N352" s="31">
        <f t="shared" si="55"/>
        <v>0</v>
      </c>
      <c r="O352" s="31">
        <f t="shared" si="56"/>
        <v>-2.25</v>
      </c>
      <c r="P352" s="62"/>
      <c r="Q352" s="31">
        <f t="shared" si="49"/>
        <v>-9.4187204844152213</v>
      </c>
      <c r="R352" s="31">
        <f>SUM($Q$36:Q352)</f>
        <v>-3571.7156730751999</v>
      </c>
      <c r="S352" s="83">
        <f>IF($L$2&lt;&gt;1,-(R352-$R$36)/B352*12/$Q$36,0)</f>
        <v>-0.18982977126802533</v>
      </c>
      <c r="T352" s="31">
        <f>SUMPRODUCT($Q$36:Q352,$E$36:E352)/E352-R352</f>
        <v>-4451.689593525527</v>
      </c>
      <c r="U352" s="31">
        <f t="shared" si="50"/>
        <v>5444.7369317248322</v>
      </c>
      <c r="V352" s="31">
        <f t="shared" si="51"/>
        <v>6040.1369317248318</v>
      </c>
      <c r="W352" s="80" cm="1">
        <f t="array" ref="W352">IF($L$2&lt;&gt;1,IRR(IF(ROW($Q$36:Q352)=ROW(Q352),Q352+L352-K352,$Q$36:Q352),W351/12)*12,0)</f>
        <v>5.4001715814774975E-2</v>
      </c>
      <c r="X352" s="83">
        <f>(1+W352/12)^(B352)-1</f>
        <v>3.1323863421682816</v>
      </c>
    </row>
    <row r="353" spans="2:24" x14ac:dyDescent="0.25">
      <c r="B353" s="33">
        <v>317</v>
      </c>
      <c r="C353" s="81">
        <f t="shared" si="47"/>
        <v>26.416666666666668</v>
      </c>
      <c r="D353" s="105">
        <f t="shared" si="48"/>
        <v>3.9789301544717048E-3</v>
      </c>
      <c r="E353" s="106">
        <f t="shared" si="52"/>
        <v>0.2839894635375993</v>
      </c>
      <c r="F353" s="60">
        <f>rate</f>
        <v>3.2737397821989145E-3</v>
      </c>
      <c r="G353" s="31">
        <f>IF(AND(B352&gt;=gracia,12*años+gracia-B352&gt;0,$L$2&lt;&gt;1),PMT(F352,12*años-B352+gracia,-K352),0)</f>
        <v>19.168720484415221</v>
      </c>
      <c r="H353" s="31">
        <f>IF(AND(12*años+gracia-B352&gt;0,$L$2&lt;&gt;1),K352*F353,0)</f>
        <v>2.5675944320609076</v>
      </c>
      <c r="I353" s="31">
        <f>IF(AND(12*años+gracia-B352&gt;0,$L$2&lt;&gt;1),G353-H353,0)</f>
        <v>16.601126052354314</v>
      </c>
      <c r="J353" s="62"/>
      <c r="K353" s="61">
        <f t="shared" si="53"/>
        <v>767.69897196469049</v>
      </c>
      <c r="L353" s="61">
        <f>L352*(1+$J$17)^(1/12)</f>
        <v>9824.9240029538578</v>
      </c>
      <c r="M353" s="31">
        <f t="shared" si="54"/>
        <v>12</v>
      </c>
      <c r="N353" s="31">
        <f t="shared" si="55"/>
        <v>0</v>
      </c>
      <c r="O353" s="31">
        <f t="shared" si="56"/>
        <v>-2.25</v>
      </c>
      <c r="P353" s="62"/>
      <c r="Q353" s="31">
        <f t="shared" si="49"/>
        <v>-9.4187204844152213</v>
      </c>
      <c r="R353" s="31">
        <f>SUM($Q$36:Q353)</f>
        <v>-3581.1343935596151</v>
      </c>
      <c r="S353" s="83">
        <f>IF($L$2&lt;&gt;1,-(R353-$R$36)/B353*12/$Q$36,0)</f>
        <v>-0.18982977126802533</v>
      </c>
      <c r="T353" s="31">
        <f>SUMPRODUCT($Q$36:Q353,$E$36:E353)/E353-R353</f>
        <v>-4483.614162682351</v>
      </c>
      <c r="U353" s="31">
        <f t="shared" si="50"/>
        <v>5476.0906374295519</v>
      </c>
      <c r="V353" s="31">
        <f t="shared" si="51"/>
        <v>6071.4906374295515</v>
      </c>
      <c r="W353" s="80" cm="1">
        <f t="array" ref="W353">IF($L$2&lt;&gt;1,IRR(IF(ROW($Q$36:Q353)=ROW(Q353),Q353+L353-K353,$Q$36:Q353),W352/12)*12,0)</f>
        <v>5.3947866415781753E-2</v>
      </c>
      <c r="X353" s="83">
        <f>(1+W353/12)^(B353)-1</f>
        <v>3.1451084099222095</v>
      </c>
    </row>
    <row r="354" spans="2:24" x14ac:dyDescent="0.25">
      <c r="B354" s="33">
        <v>318</v>
      </c>
      <c r="C354" s="81">
        <f t="shared" si="47"/>
        <v>26.5</v>
      </c>
      <c r="D354" s="105">
        <f t="shared" si="48"/>
        <v>3.9789301544717048E-3</v>
      </c>
      <c r="E354" s="106">
        <f t="shared" si="52"/>
        <v>0.28286396756743176</v>
      </c>
      <c r="F354" s="60">
        <f>rate</f>
        <v>3.2737397821989145E-3</v>
      </c>
      <c r="G354" s="31">
        <f>IF(AND(B353&gt;=gracia,12*años+gracia-B353&gt;0,$L$2&lt;&gt;1),PMT(F353,12*años-B353+gracia,-K353),0)</f>
        <v>19.168720484415218</v>
      </c>
      <c r="H354" s="31">
        <f>IF(AND(12*años+gracia-B353&gt;0,$L$2&lt;&gt;1),K353*F354,0)</f>
        <v>2.5132466652740164</v>
      </c>
      <c r="I354" s="31">
        <f>IF(AND(12*años+gracia-B353&gt;0,$L$2&lt;&gt;1),G354-H354,0)</f>
        <v>16.6554738191412</v>
      </c>
      <c r="J354" s="62"/>
      <c r="K354" s="61">
        <f t="shared" si="53"/>
        <v>751.04349814554928</v>
      </c>
      <c r="L354" s="61">
        <f>L353*(1+$J$17)^(1/12)</f>
        <v>9849.1549160375234</v>
      </c>
      <c r="M354" s="31">
        <f t="shared" si="54"/>
        <v>12</v>
      </c>
      <c r="N354" s="31">
        <f t="shared" si="55"/>
        <v>0</v>
      </c>
      <c r="O354" s="31">
        <f t="shared" si="56"/>
        <v>-2.25</v>
      </c>
      <c r="P354" s="62"/>
      <c r="Q354" s="31">
        <f t="shared" si="49"/>
        <v>-9.4187204844152177</v>
      </c>
      <c r="R354" s="31">
        <f>SUM($Q$36:Q354)</f>
        <v>-3590.5531140440303</v>
      </c>
      <c r="S354" s="83">
        <f>IF($L$2&lt;&gt;1,-(R354-$R$36)/B354*12/$Q$36,0)</f>
        <v>-0.18982977126802533</v>
      </c>
      <c r="T354" s="31">
        <f>SUMPRODUCT($Q$36:Q354,$E$36:E354)/E354-R354</f>
        <v>-4515.7032339010148</v>
      </c>
      <c r="U354" s="31">
        <f t="shared" si="50"/>
        <v>5507.5583038479435</v>
      </c>
      <c r="V354" s="31">
        <f t="shared" si="51"/>
        <v>6102.9583038479432</v>
      </c>
      <c r="W354" s="80" cm="1">
        <f t="array" ref="W354">IF($L$2&lt;&gt;1,IRR(IF(ROW($Q$36:Q354)=ROW(Q354),Q354+L354-K354,$Q$36:Q354),W353/12)*12,0)</f>
        <v>5.3894262046281227E-2</v>
      </c>
      <c r="X354" s="83">
        <f>(1+W354/12)^(B354)-1</f>
        <v>3.1578593459137272</v>
      </c>
    </row>
    <row r="355" spans="2:24" x14ac:dyDescent="0.25">
      <c r="B355" s="33">
        <v>319</v>
      </c>
      <c r="C355" s="81">
        <f t="shared" si="47"/>
        <v>26.583333333333332</v>
      </c>
      <c r="D355" s="105">
        <f t="shared" si="48"/>
        <v>3.9789301544717048E-3</v>
      </c>
      <c r="E355" s="106">
        <f t="shared" si="52"/>
        <v>0.28174293211901413</v>
      </c>
      <c r="F355" s="60">
        <f>rate</f>
        <v>3.2737397821989145E-3</v>
      </c>
      <c r="G355" s="31">
        <f>IF(AND(B354&gt;=gracia,12*años+gracia-B354&gt;0,$L$2&lt;&gt;1),PMT(F354,12*años-B354+gracia,-K354),0)</f>
        <v>19.168720484415218</v>
      </c>
      <c r="H355" s="31">
        <f>IF(AND(12*años+gracia-B354&gt;0,$L$2&lt;&gt;1),K354*F355,0)</f>
        <v>2.4587209780409212</v>
      </c>
      <c r="I355" s="31">
        <f>IF(AND(12*años+gracia-B354&gt;0,$L$2&lt;&gt;1),G355-H355,0)</f>
        <v>16.709999506374295</v>
      </c>
      <c r="J355" s="62"/>
      <c r="K355" s="61">
        <f t="shared" si="53"/>
        <v>734.33349863917499</v>
      </c>
      <c r="L355" s="61">
        <f>L354*(1+$J$17)^(1/12)</f>
        <v>9873.4455890896825</v>
      </c>
      <c r="M355" s="31">
        <f t="shared" si="54"/>
        <v>12</v>
      </c>
      <c r="N355" s="31">
        <f t="shared" si="55"/>
        <v>0</v>
      </c>
      <c r="O355" s="31">
        <f t="shared" si="56"/>
        <v>-2.25</v>
      </c>
      <c r="P355" s="62"/>
      <c r="Q355" s="31">
        <f t="shared" si="49"/>
        <v>-9.4187204844152177</v>
      </c>
      <c r="R355" s="31">
        <f>SUM($Q$36:Q355)</f>
        <v>-3599.9718345284455</v>
      </c>
      <c r="S355" s="83">
        <f>IF($L$2&lt;&gt;1,-(R355-$R$36)/B355*12/$Q$36,0)</f>
        <v>-0.18982977126802533</v>
      </c>
      <c r="T355" s="31">
        <f>SUMPRODUCT($Q$36:Q355,$E$36:E355)/E355-R355</f>
        <v>-4547.9574617237313</v>
      </c>
      <c r="U355" s="31">
        <f t="shared" si="50"/>
        <v>5539.1402559220624</v>
      </c>
      <c r="V355" s="31">
        <f t="shared" si="51"/>
        <v>6134.540255922062</v>
      </c>
      <c r="W355" s="80" cm="1">
        <f t="array" ref="W355">IF($L$2&lt;&gt;1,IRR(IF(ROW($Q$36:Q355)=ROW(Q355),Q355+L355-K355,$Q$36:Q355),W354/12)*12,0)</f>
        <v>5.3840901187187207E-2</v>
      </c>
      <c r="X355" s="83">
        <f>(1+W355/12)^(B355)-1</f>
        <v>3.1706392624682556</v>
      </c>
    </row>
    <row r="356" spans="2:24" x14ac:dyDescent="0.25">
      <c r="B356" s="33">
        <v>320</v>
      </c>
      <c r="C356" s="81">
        <f t="shared" si="47"/>
        <v>26.666666666666668</v>
      </c>
      <c r="D356" s="105">
        <f t="shared" si="48"/>
        <v>3.9789301544717048E-3</v>
      </c>
      <c r="E356" s="106">
        <f t="shared" si="52"/>
        <v>0.28062633951458055</v>
      </c>
      <c r="F356" s="60">
        <f>rate</f>
        <v>3.2737397821989145E-3</v>
      </c>
      <c r="G356" s="31">
        <f>IF(AND(B355&gt;=gracia,12*años+gracia-B355&gt;0,$L$2&lt;&gt;1),PMT(F355,12*años-B355+gracia,-K355),0)</f>
        <v>19.168720484415225</v>
      </c>
      <c r="H356" s="31">
        <f>IF(AND(12*años+gracia-B355&gt;0,$L$2&lt;&gt;1),K355*F356,0)</f>
        <v>2.4040167878963796</v>
      </c>
      <c r="I356" s="31">
        <f>IF(AND(12*años+gracia-B355&gt;0,$L$2&lt;&gt;1),G356-H356,0)</f>
        <v>16.764703696518843</v>
      </c>
      <c r="J356" s="62"/>
      <c r="K356" s="61">
        <f t="shared" si="53"/>
        <v>717.56879494265615</v>
      </c>
      <c r="L356" s="61">
        <f>L355*(1+$J$17)^(1/12)</f>
        <v>9897.7961694945388</v>
      </c>
      <c r="M356" s="31">
        <f t="shared" si="54"/>
        <v>12</v>
      </c>
      <c r="N356" s="31">
        <f t="shared" si="55"/>
        <v>0</v>
      </c>
      <c r="O356" s="31">
        <f t="shared" si="56"/>
        <v>-2.25</v>
      </c>
      <c r="P356" s="62"/>
      <c r="Q356" s="31">
        <f t="shared" si="49"/>
        <v>-9.4187204844152248</v>
      </c>
      <c r="R356" s="31">
        <f>SUM($Q$36:Q356)</f>
        <v>-3609.3905550128607</v>
      </c>
      <c r="S356" s="83">
        <f>IF($L$2&lt;&gt;1,-(R356-$R$36)/B356*12/$Q$36,0)</f>
        <v>-0.18982977126802533</v>
      </c>
      <c r="T356" s="31">
        <f>SUMPRODUCT($Q$36:Q356,$E$36:E356)/E356-R356</f>
        <v>-4580.3775032970916</v>
      </c>
      <c r="U356" s="31">
        <f t="shared" si="50"/>
        <v>5570.8368195390221</v>
      </c>
      <c r="V356" s="31">
        <f t="shared" si="51"/>
        <v>6166.2368195390218</v>
      </c>
      <c r="W356" s="80" cm="1">
        <f t="array" ref="W356">IF($L$2&lt;&gt;1,IRR(IF(ROW($Q$36:Q356)=ROW(Q356),Q356+L356-K356,$Q$36:Q356),W355/12)*12,0)</f>
        <v>5.3787782330655176E-2</v>
      </c>
      <c r="X356" s="83">
        <f>(1+W356/12)^(B356)-1</f>
        <v>3.1834482719801835</v>
      </c>
    </row>
    <row r="357" spans="2:24" x14ac:dyDescent="0.25">
      <c r="B357" s="33">
        <v>321</v>
      </c>
      <c r="C357" s="81">
        <f t="shared" ref="C357:C420" si="57">B357/12</f>
        <v>26.75</v>
      </c>
      <c r="D357" s="105">
        <f t="shared" ref="D357:D420" si="58">(1+$E$3/360)^30-1-((1+$E$4)^(1/12)-1)</f>
        <v>3.9789301544717048E-3</v>
      </c>
      <c r="E357" s="106">
        <f t="shared" si="52"/>
        <v>0.27951417214642493</v>
      </c>
      <c r="F357" s="60">
        <f>rate</f>
        <v>3.2737397821989145E-3</v>
      </c>
      <c r="G357" s="31">
        <f>IF(AND(B356&gt;=gracia,12*años+gracia-B356&gt;0,$L$2&lt;&gt;1),PMT(F356,12*años-B356+gracia,-K356),0)</f>
        <v>19.168720484415225</v>
      </c>
      <c r="H357" s="31">
        <f>IF(AND(12*años+gracia-B356&gt;0,$L$2&lt;&gt;1),K356*F357,0)</f>
        <v>2.3491335104683086</v>
      </c>
      <c r="I357" s="31">
        <f>IF(AND(12*años+gracia-B356&gt;0,$L$2&lt;&gt;1),G357-H357,0)</f>
        <v>16.819586973946915</v>
      </c>
      <c r="J357" s="62"/>
      <c r="K357" s="61">
        <f t="shared" si="53"/>
        <v>700.74920796870924</v>
      </c>
      <c r="L357" s="61">
        <f>L356*(1+$J$17)^(1/12)</f>
        <v>9922.206804999787</v>
      </c>
      <c r="M357" s="31">
        <f t="shared" si="54"/>
        <v>12</v>
      </c>
      <c r="N357" s="31">
        <f t="shared" si="55"/>
        <v>0</v>
      </c>
      <c r="O357" s="31">
        <f t="shared" si="56"/>
        <v>-2.25</v>
      </c>
      <c r="P357" s="62"/>
      <c r="Q357" s="31">
        <f t="shared" ref="Q357:Q420" si="59">P357+O357+N357+M357-J357-G357</f>
        <v>-9.4187204844152248</v>
      </c>
      <c r="R357" s="31">
        <f>SUM($Q$36:Q357)</f>
        <v>-3618.8092754972758</v>
      </c>
      <c r="S357" s="83">
        <f>IF($L$2&lt;&gt;1,-(R357-$R$36)/B357*12/$Q$36,0)</f>
        <v>-0.18982977126802533</v>
      </c>
      <c r="T357" s="31">
        <f>SUMPRODUCT($Q$36:Q357,$E$36:E357)/E357-R357</f>
        <v>-4612.9640183824313</v>
      </c>
      <c r="U357" s="31">
        <f t="shared" ref="U357:U420" si="60">R357-K357+L357</f>
        <v>5602.6483215338021</v>
      </c>
      <c r="V357" s="31">
        <f t="shared" ref="V357:V420" si="61">IF($L$2&lt;&gt;1,U357+$E$30,U357)</f>
        <v>6198.0483215338018</v>
      </c>
      <c r="W357" s="80" cm="1">
        <f t="array" ref="W357">IF($L$2&lt;&gt;1,IRR(IF(ROW($Q$36:Q357)=ROW(Q357),Q357+L357-K357,$Q$36:Q357),W356/12)*12,0)</f>
        <v>5.3734903979991699E-2</v>
      </c>
      <c r="X357" s="83">
        <f>(1+W357/12)^(B357)-1</f>
        <v>3.19628648691506</v>
      </c>
    </row>
    <row r="358" spans="2:24" x14ac:dyDescent="0.25">
      <c r="B358" s="33">
        <v>322</v>
      </c>
      <c r="C358" s="81">
        <f t="shared" si="57"/>
        <v>26.833333333333332</v>
      </c>
      <c r="D358" s="105">
        <f t="shared" si="58"/>
        <v>3.9789301544717048E-3</v>
      </c>
      <c r="E358" s="106">
        <f t="shared" ref="E358:E421" si="62">E357/(1+D358)</f>
        <v>0.2784064124766234</v>
      </c>
      <c r="F358" s="60">
        <f>rate</f>
        <v>3.2737397821989145E-3</v>
      </c>
      <c r="G358" s="31">
        <f>IF(AND(B357&gt;=gracia,12*años+gracia-B357&gt;0,$L$2&lt;&gt;1),PMT(F357,12*años-B357+gracia,-K357),0)</f>
        <v>19.168720484415221</v>
      </c>
      <c r="H358" s="31">
        <f>IF(AND(12*años+gracia-B357&gt;0,$L$2&lt;&gt;1),K357*F358,0)</f>
        <v>2.2940705594715438</v>
      </c>
      <c r="I358" s="31">
        <f>IF(AND(12*años+gracia-B357&gt;0,$L$2&lt;&gt;1),G358-H358,0)</f>
        <v>16.874649924943679</v>
      </c>
      <c r="J358" s="62"/>
      <c r="K358" s="61">
        <f t="shared" ref="K358:K421" si="63">K357-I358-J358</f>
        <v>683.87455804376555</v>
      </c>
      <c r="L358" s="61">
        <f>L357*(1+$J$17)^(1/12)</f>
        <v>9946.6776437175031</v>
      </c>
      <c r="M358" s="31">
        <f t="shared" ref="M358:M421" si="64">IF($L$2=3,$J$7*$J$16,0)</f>
        <v>12</v>
      </c>
      <c r="N358" s="31">
        <f t="shared" ref="N358:N421" si="65">-$J$28</f>
        <v>0</v>
      </c>
      <c r="O358" s="31">
        <f t="shared" ref="O358:O421" si="66">IF($L$2&lt;&gt;1,-$E$17-$E$18,0)</f>
        <v>-2.25</v>
      </c>
      <c r="P358" s="62"/>
      <c r="Q358" s="31">
        <f t="shared" si="59"/>
        <v>-9.4187204844152213</v>
      </c>
      <c r="R358" s="31">
        <f>SUM($Q$36:Q358)</f>
        <v>-3628.227995981691</v>
      </c>
      <c r="S358" s="83">
        <f>IF($L$2&lt;&gt;1,-(R358-$R$36)/B358*12/$Q$36,0)</f>
        <v>-0.18982977126802533</v>
      </c>
      <c r="T358" s="31">
        <f>SUMPRODUCT($Q$36:Q358,$E$36:E358)/E358-R358</f>
        <v>-4645.7176693662241</v>
      </c>
      <c r="U358" s="31">
        <f t="shared" si="60"/>
        <v>5634.5750896920463</v>
      </c>
      <c r="V358" s="31">
        <f t="shared" si="61"/>
        <v>6229.9750896920459</v>
      </c>
      <c r="W358" s="80" cm="1">
        <f t="array" ref="W358">IF($L$2&lt;&gt;1,IRR(IF(ROW($Q$36:Q358)=ROW(Q358),Q358+L358-K358,$Q$36:Q358),W357/12)*12,0)</f>
        <v>5.3682264649595801E-2</v>
      </c>
      <c r="X358" s="83">
        <f>(1+W358/12)^(B358)-1</f>
        <v>3.2091540198139095</v>
      </c>
    </row>
    <row r="359" spans="2:24" x14ac:dyDescent="0.25">
      <c r="B359" s="33">
        <v>323</v>
      </c>
      <c r="C359" s="81">
        <f t="shared" si="57"/>
        <v>26.916666666666668</v>
      </c>
      <c r="D359" s="105">
        <f t="shared" si="58"/>
        <v>3.9789301544717048E-3</v>
      </c>
      <c r="E359" s="106">
        <f t="shared" si="62"/>
        <v>0.27730304303675768</v>
      </c>
      <c r="F359" s="60">
        <f>rate</f>
        <v>3.2737397821989145E-3</v>
      </c>
      <c r="G359" s="31">
        <f>IF(AND(B358&gt;=gracia,12*años+gracia-B358&gt;0,$L$2&lt;&gt;1),PMT(F358,12*años-B358+gracia,-K358),0)</f>
        <v>19.168720484415225</v>
      </c>
      <c r="H359" s="31">
        <f>IF(AND(12*años+gracia-B358&gt;0,$L$2&lt;&gt;1),K358*F359,0)</f>
        <v>2.238827346701576</v>
      </c>
      <c r="I359" s="31">
        <f>IF(AND(12*años+gracia-B358&gt;0,$L$2&lt;&gt;1),G359-H359,0)</f>
        <v>16.929893137713648</v>
      </c>
      <c r="J359" s="62"/>
      <c r="K359" s="61">
        <f t="shared" si="63"/>
        <v>666.94466490605191</v>
      </c>
      <c r="L359" s="61">
        <f>L358*(1+$J$17)^(1/12)</f>
        <v>9971.2088341250528</v>
      </c>
      <c r="M359" s="31">
        <f t="shared" si="64"/>
        <v>12</v>
      </c>
      <c r="N359" s="31">
        <f t="shared" si="65"/>
        <v>0</v>
      </c>
      <c r="O359" s="31">
        <f t="shared" si="66"/>
        <v>-2.25</v>
      </c>
      <c r="P359" s="62"/>
      <c r="Q359" s="31">
        <f t="shared" si="59"/>
        <v>-9.4187204844152248</v>
      </c>
      <c r="R359" s="31">
        <f>SUM($Q$36:Q359)</f>
        <v>-3637.6467164661062</v>
      </c>
      <c r="S359" s="83">
        <f>IF($L$2&lt;&gt;1,-(R359-$R$36)/B359*12/$Q$36,0)</f>
        <v>-0.18982977126802533</v>
      </c>
      <c r="T359" s="31">
        <f>SUMPRODUCT($Q$36:Q359,$E$36:E359)/E359-R359</f>
        <v>-4678.6391212705385</v>
      </c>
      <c r="U359" s="31">
        <f t="shared" si="60"/>
        <v>5666.6174527528947</v>
      </c>
      <c r="V359" s="31">
        <f t="shared" si="61"/>
        <v>6262.0174527528943</v>
      </c>
      <c r="W359" s="80" cm="1">
        <f t="array" ref="W359">IF($L$2&lt;&gt;1,IRR(IF(ROW($Q$36:Q359)=ROW(Q359),Q359+L359-K359,$Q$36:Q359),W358/12)*12,0)</f>
        <v>5.362986286484972E-2</v>
      </c>
      <c r="X359" s="83">
        <f>(1+W359/12)^(B359)-1</f>
        <v>3.2220509832933883</v>
      </c>
    </row>
    <row r="360" spans="2:24" x14ac:dyDescent="0.25">
      <c r="B360" s="33">
        <v>324</v>
      </c>
      <c r="C360" s="81">
        <f t="shared" si="57"/>
        <v>27</v>
      </c>
      <c r="D360" s="105">
        <f t="shared" si="58"/>
        <v>3.9789301544717048E-3</v>
      </c>
      <c r="E360" s="106">
        <f t="shared" si="62"/>
        <v>0.27620404642763963</v>
      </c>
      <c r="F360" s="60">
        <f>rate</f>
        <v>3.2737397821989145E-3</v>
      </c>
      <c r="G360" s="31">
        <f>IF(AND(B359&gt;=gracia,12*años+gracia-B359&gt;0,$L$2&lt;&gt;1),PMT(F359,12*años-B359+gracia,-K359),0)</f>
        <v>19.168720484415221</v>
      </c>
      <c r="H360" s="31">
        <f>IF(AND(12*años+gracia-B359&gt;0,$L$2&lt;&gt;1),K359*F360,0)</f>
        <v>2.1834032820282663</v>
      </c>
      <c r="I360" s="31">
        <f>IF(AND(12*años+gracia-B359&gt;0,$L$2&lt;&gt;1),G360-H360,0)</f>
        <v>16.985317202386955</v>
      </c>
      <c r="J360" s="62"/>
      <c r="K360" s="61">
        <f t="shared" si="63"/>
        <v>649.959347703665</v>
      </c>
      <c r="L360" s="61">
        <f>L359*(1+$J$17)^(1/12)</f>
        <v>9995.8005250659826</v>
      </c>
      <c r="M360" s="31">
        <f t="shared" si="64"/>
        <v>12</v>
      </c>
      <c r="N360" s="31">
        <f t="shared" si="65"/>
        <v>0</v>
      </c>
      <c r="O360" s="31">
        <f t="shared" si="66"/>
        <v>-2.25</v>
      </c>
      <c r="P360" s="62"/>
      <c r="Q360" s="31">
        <f t="shared" si="59"/>
        <v>-9.4187204844152213</v>
      </c>
      <c r="R360" s="31">
        <f>SUM($Q$36:Q360)</f>
        <v>-3647.0654369505214</v>
      </c>
      <c r="S360" s="83">
        <f>IF($L$2&lt;&gt;1,-(R360-$R$36)/B360*12/$Q$36,0)</f>
        <v>-0.18982977126802533</v>
      </c>
      <c r="T360" s="31">
        <f>SUMPRODUCT($Q$36:Q360,$E$36:E360)/E360-R360</f>
        <v>-4711.7290417635159</v>
      </c>
      <c r="U360" s="31">
        <f t="shared" si="60"/>
        <v>5698.7757404117965</v>
      </c>
      <c r="V360" s="31">
        <f t="shared" si="61"/>
        <v>6294.1757404117961</v>
      </c>
      <c r="W360" s="80" cm="1">
        <f t="array" ref="W360">IF($L$2&lt;&gt;1,IRR(IF(ROW($Q$36:Q360)=ROW(Q360),Q360+L360-K360,$Q$36:Q360),W359/12)*12,0)</f>
        <v>5.3577697162062954E-2</v>
      </c>
      <c r="X360" s="83">
        <f>(1+W360/12)^(B360)-1</f>
        <v>3.234977490050726</v>
      </c>
    </row>
    <row r="361" spans="2:24" x14ac:dyDescent="0.25">
      <c r="B361" s="33">
        <v>325</v>
      </c>
      <c r="C361" s="81">
        <f t="shared" si="57"/>
        <v>27.083333333333332</v>
      </c>
      <c r="D361" s="105">
        <f t="shared" si="58"/>
        <v>3.9789301544717048E-3</v>
      </c>
      <c r="E361" s="106">
        <f t="shared" si="62"/>
        <v>0.27510940531903694</v>
      </c>
      <c r="F361" s="60">
        <f>rate</f>
        <v>3.2737397821989145E-3</v>
      </c>
      <c r="G361" s="31">
        <f>IF(AND(B360&gt;=gracia,12*años+gracia-B360&gt;0,$L$2&lt;&gt;1),PMT(F360,12*años-B360+gracia,-K360),0)</f>
        <v>19.168720484415225</v>
      </c>
      <c r="H361" s="31">
        <f>IF(AND(12*años+gracia-B360&gt;0,$L$2&lt;&gt;1),K360*F361,0)</f>
        <v>2.127797773389545</v>
      </c>
      <c r="I361" s="31">
        <f>IF(AND(12*años+gracia-B360&gt;0,$L$2&lt;&gt;1),G361-H361,0)</f>
        <v>17.040922711025679</v>
      </c>
      <c r="J361" s="62"/>
      <c r="K361" s="61">
        <f t="shared" si="63"/>
        <v>632.9184249926393</v>
      </c>
      <c r="L361" s="61">
        <f>L360*(1+$J$17)^(1/12)</f>
        <v>10020.452865750931</v>
      </c>
      <c r="M361" s="31">
        <f t="shared" si="64"/>
        <v>12</v>
      </c>
      <c r="N361" s="31">
        <f t="shared" si="65"/>
        <v>0</v>
      </c>
      <c r="O361" s="31">
        <f t="shared" si="66"/>
        <v>-2.25</v>
      </c>
      <c r="P361" s="62"/>
      <c r="Q361" s="31">
        <f t="shared" si="59"/>
        <v>-9.4187204844152248</v>
      </c>
      <c r="R361" s="31">
        <f>SUM($Q$36:Q361)</f>
        <v>-3656.4841574349366</v>
      </c>
      <c r="S361" s="83">
        <f>IF($L$2&lt;&gt;1,-(R361-$R$36)/B361*12/$Q$36,0)</f>
        <v>-0.18982977126802533</v>
      </c>
      <c r="T361" s="31">
        <f>SUMPRODUCT($Q$36:Q361,$E$36:E361)/E361-R361</f>
        <v>-4744.9881011699008</v>
      </c>
      <c r="U361" s="31">
        <f t="shared" si="60"/>
        <v>5731.050283323355</v>
      </c>
      <c r="V361" s="31">
        <f t="shared" si="61"/>
        <v>6326.4502833233546</v>
      </c>
      <c r="W361" s="80" cm="1">
        <f t="array" ref="W361">IF($L$2&lt;&gt;1,IRR(IF(ROW($Q$36:Q361)=ROW(Q361),Q361+L361-K361,$Q$36:Q361),W360/12)*12,0)</f>
        <v>5.3525766088392324E-2</v>
      </c>
      <c r="X361" s="83">
        <f>(1+W361/12)^(B361)-1</f>
        <v>3.2479336528666929</v>
      </c>
    </row>
    <row r="362" spans="2:24" x14ac:dyDescent="0.25">
      <c r="B362" s="33">
        <v>326</v>
      </c>
      <c r="C362" s="81">
        <f t="shared" si="57"/>
        <v>27.166666666666668</v>
      </c>
      <c r="D362" s="105">
        <f t="shared" si="58"/>
        <v>3.9789301544717048E-3</v>
      </c>
      <c r="E362" s="106">
        <f t="shared" si="62"/>
        <v>0.27401910244939975</v>
      </c>
      <c r="F362" s="60">
        <f>rate</f>
        <v>3.2737397821989145E-3</v>
      </c>
      <c r="G362" s="31">
        <f>IF(AND(B361&gt;=gracia,12*años+gracia-B361&gt;0,$L$2&lt;&gt;1),PMT(F361,12*años-B361+gracia,-K361),0)</f>
        <v>19.168720484415225</v>
      </c>
      <c r="H362" s="31">
        <f>IF(AND(12*años+gracia-B361&gt;0,$L$2&lt;&gt;1),K361*F362,0)</f>
        <v>2.0720102267850828</v>
      </c>
      <c r="I362" s="31">
        <f>IF(AND(12*años+gracia-B361&gt;0,$L$2&lt;&gt;1),G362-H362,0)</f>
        <v>17.096710257630143</v>
      </c>
      <c r="J362" s="62"/>
      <c r="K362" s="61">
        <f t="shared" si="63"/>
        <v>615.82171473500921</v>
      </c>
      <c r="L362" s="61">
        <f>L361*(1+$J$17)^(1/12)</f>
        <v>10045.166005758527</v>
      </c>
      <c r="M362" s="31">
        <f t="shared" si="64"/>
        <v>12</v>
      </c>
      <c r="N362" s="31">
        <f t="shared" si="65"/>
        <v>0</v>
      </c>
      <c r="O362" s="31">
        <f t="shared" si="66"/>
        <v>-2.25</v>
      </c>
      <c r="P362" s="62"/>
      <c r="Q362" s="31">
        <f t="shared" si="59"/>
        <v>-9.4187204844152248</v>
      </c>
      <c r="R362" s="31">
        <f>SUM($Q$36:Q362)</f>
        <v>-3665.9028779193518</v>
      </c>
      <c r="S362" s="83">
        <f>IF($L$2&lt;&gt;1,-(R362-$R$36)/B362*12/$Q$36,0)</f>
        <v>-0.18982977126802533</v>
      </c>
      <c r="T362" s="31">
        <f>SUMPRODUCT($Q$36:Q362,$E$36:E362)/E362-R362</f>
        <v>-4778.416972481622</v>
      </c>
      <c r="U362" s="31">
        <f t="shared" si="60"/>
        <v>5763.4414131041658</v>
      </c>
      <c r="V362" s="31">
        <f t="shared" si="61"/>
        <v>6358.8414131041654</v>
      </c>
      <c r="W362" s="80" cm="1">
        <f t="array" ref="W362">IF($L$2&lt;&gt;1,IRR(IF(ROW($Q$36:Q362)=ROW(Q362),Q362+L362-K362,$Q$36:Q362),W361/12)*12,0)</f>
        <v>5.3474068201751379E-2</v>
      </c>
      <c r="X362" s="83">
        <f>(1+W362/12)^(B362)-1</f>
        <v>3.2609195846066639</v>
      </c>
    </row>
    <row r="363" spans="2:24" x14ac:dyDescent="0.25">
      <c r="B363" s="33">
        <v>327</v>
      </c>
      <c r="C363" s="81">
        <f t="shared" si="57"/>
        <v>27.25</v>
      </c>
      <c r="D363" s="105">
        <f t="shared" si="58"/>
        <v>3.9789301544717048E-3</v>
      </c>
      <c r="E363" s="106">
        <f t="shared" si="62"/>
        <v>0.27293312062558855</v>
      </c>
      <c r="F363" s="60">
        <f>rate</f>
        <v>3.2737397821989145E-3</v>
      </c>
      <c r="G363" s="31">
        <f>IF(AND(B362&gt;=gracia,12*años+gracia-B362&gt;0,$L$2&lt;&gt;1),PMT(F362,12*años-B362+gracia,-K362),0)</f>
        <v>19.168720484415225</v>
      </c>
      <c r="H363" s="31">
        <f>IF(AND(12*años+gracia-B362&gt;0,$L$2&lt;&gt;1),K362*F363,0)</f>
        <v>2.0160400462699513</v>
      </c>
      <c r="I363" s="31">
        <f>IF(AND(12*años+gracia-B362&gt;0,$L$2&lt;&gt;1),G363-H363,0)</f>
        <v>17.152680438145275</v>
      </c>
      <c r="J363" s="62"/>
      <c r="K363" s="61">
        <f t="shared" si="63"/>
        <v>598.66903429686397</v>
      </c>
      <c r="L363" s="61">
        <f>L362*(1+$J$17)^(1/12)</f>
        <v>10069.940095036301</v>
      </c>
      <c r="M363" s="31">
        <f t="shared" si="64"/>
        <v>12</v>
      </c>
      <c r="N363" s="31">
        <f t="shared" si="65"/>
        <v>0</v>
      </c>
      <c r="O363" s="31">
        <f t="shared" si="66"/>
        <v>-2.25</v>
      </c>
      <c r="P363" s="62"/>
      <c r="Q363" s="31">
        <f t="shared" si="59"/>
        <v>-9.4187204844152248</v>
      </c>
      <c r="R363" s="31">
        <f>SUM($Q$36:Q363)</f>
        <v>-3675.321598403767</v>
      </c>
      <c r="S363" s="83">
        <f>IF($L$2&lt;&gt;1,-(R363-$R$36)/B363*12/$Q$36,0)</f>
        <v>-0.18982977126802533</v>
      </c>
      <c r="T363" s="31">
        <f>SUMPRODUCT($Q$36:Q363,$E$36:E363)/E363-R363</f>
        <v>-4812.0163313683861</v>
      </c>
      <c r="U363" s="31">
        <f t="shared" si="60"/>
        <v>5795.9494623356704</v>
      </c>
      <c r="V363" s="31">
        <f t="shared" si="61"/>
        <v>6391.3494623356701</v>
      </c>
      <c r="W363" s="80" cm="1">
        <f t="array" ref="W363">IF($L$2&lt;&gt;1,IRR(IF(ROW($Q$36:Q363)=ROW(Q363),Q363+L363-K363,$Q$36:Q363),W362/12)*12,0)</f>
        <v>5.3422602070741121E-2</v>
      </c>
      <c r="X363" s="83">
        <f>(1+W363/12)^(B363)-1</f>
        <v>3.273935398224447</v>
      </c>
    </row>
    <row r="364" spans="2:24" x14ac:dyDescent="0.25">
      <c r="B364" s="33">
        <v>328</v>
      </c>
      <c r="C364" s="81">
        <f t="shared" si="57"/>
        <v>27.333333333333332</v>
      </c>
      <c r="D364" s="105">
        <f t="shared" si="58"/>
        <v>3.9789301544717048E-3</v>
      </c>
      <c r="E364" s="106">
        <f t="shared" si="62"/>
        <v>0.27185144272260298</v>
      </c>
      <c r="F364" s="60">
        <f>rate</f>
        <v>3.2737397821989145E-3</v>
      </c>
      <c r="G364" s="31">
        <f>IF(AND(B363&gt;=gracia,12*años+gracia-B363&gt;0,$L$2&lt;&gt;1),PMT(F363,12*años-B363+gracia,-K363),0)</f>
        <v>19.168720484415225</v>
      </c>
      <c r="H364" s="31">
        <f>IF(AND(12*años+gracia-B363&gt;0,$L$2&lt;&gt;1),K363*F364,0)</f>
        <v>1.9598866339482499</v>
      </c>
      <c r="I364" s="31">
        <f>IF(AND(12*años+gracia-B363&gt;0,$L$2&lt;&gt;1),G364-H364,0)</f>
        <v>17.208833850466974</v>
      </c>
      <c r="J364" s="62"/>
      <c r="K364" s="61">
        <f t="shared" si="63"/>
        <v>581.46020044639704</v>
      </c>
      <c r="L364" s="61">
        <f>L363*(1+$J$17)^(1/12)</f>
        <v>10094.775283901599</v>
      </c>
      <c r="M364" s="31">
        <f t="shared" si="64"/>
        <v>12</v>
      </c>
      <c r="N364" s="31">
        <f t="shared" si="65"/>
        <v>0</v>
      </c>
      <c r="O364" s="31">
        <f t="shared" si="66"/>
        <v>-2.25</v>
      </c>
      <c r="P364" s="62"/>
      <c r="Q364" s="31">
        <f t="shared" si="59"/>
        <v>-9.4187204844152248</v>
      </c>
      <c r="R364" s="31">
        <f>SUM($Q$36:Q364)</f>
        <v>-3684.7403188881822</v>
      </c>
      <c r="S364" s="83">
        <f>IF($L$2&lt;&gt;1,-(R364-$R$36)/B364*12/$Q$36,0)</f>
        <v>-0.18982977126802533</v>
      </c>
      <c r="T364" s="31">
        <f>SUMPRODUCT($Q$36:Q364,$E$36:E364)/E364-R364</f>
        <v>-4845.7868561883479</v>
      </c>
      <c r="U364" s="31">
        <f t="shared" si="60"/>
        <v>5828.5747645670199</v>
      </c>
      <c r="V364" s="31">
        <f t="shared" si="61"/>
        <v>6423.9747645670195</v>
      </c>
      <c r="W364" s="80" cm="1">
        <f t="array" ref="W364">IF($L$2&lt;&gt;1,IRR(IF(ROW($Q$36:Q364)=ROW(Q364),Q364+L364-K364,$Q$36:Q364),W363/12)*12,0)</f>
        <v>5.3371366274570065E-2</v>
      </c>
      <c r="X364" s="83">
        <f>(1+W364/12)^(B364)-1</f>
        <v>3.2869812067654927</v>
      </c>
    </row>
    <row r="365" spans="2:24" x14ac:dyDescent="0.25">
      <c r="B365" s="33">
        <v>329</v>
      </c>
      <c r="C365" s="81">
        <f t="shared" si="57"/>
        <v>27.416666666666668</v>
      </c>
      <c r="D365" s="105">
        <f t="shared" si="58"/>
        <v>3.9789301544717048E-3</v>
      </c>
      <c r="E365" s="106">
        <f t="shared" si="62"/>
        <v>0.27077405168331176</v>
      </c>
      <c r="F365" s="60">
        <f>rate</f>
        <v>3.2737397821989145E-3</v>
      </c>
      <c r="G365" s="31">
        <f>IF(AND(B364&gt;=gracia,12*años+gracia-B364&gt;0,$L$2&lt;&gt;1),PMT(F364,12*años-B364+gracia,-K364),0)</f>
        <v>19.168720484415225</v>
      </c>
      <c r="H365" s="31">
        <f>IF(AND(12*años+gracia-B364&gt;0,$L$2&lt;&gt;1),K364*F365,0)</f>
        <v>1.9035493899667251</v>
      </c>
      <c r="I365" s="31">
        <f>IF(AND(12*años+gracia-B364&gt;0,$L$2&lt;&gt;1),G365-H365,0)</f>
        <v>17.265171094448501</v>
      </c>
      <c r="J365" s="62"/>
      <c r="K365" s="61">
        <f t="shared" si="63"/>
        <v>564.19502935194851</v>
      </c>
      <c r="L365" s="61">
        <f>L364*(1+$J$17)^(1/12)</f>
        <v>10119.671723042484</v>
      </c>
      <c r="M365" s="31">
        <f t="shared" si="64"/>
        <v>12</v>
      </c>
      <c r="N365" s="31">
        <f t="shared" si="65"/>
        <v>0</v>
      </c>
      <c r="O365" s="31">
        <f t="shared" si="66"/>
        <v>-2.25</v>
      </c>
      <c r="P365" s="62"/>
      <c r="Q365" s="31">
        <f t="shared" si="59"/>
        <v>-9.4187204844152248</v>
      </c>
      <c r="R365" s="31">
        <f>SUM($Q$36:Q365)</f>
        <v>-3694.1590393725974</v>
      </c>
      <c r="S365" s="83">
        <f>IF($L$2&lt;&gt;1,-(R365-$R$36)/B365*12/$Q$36,0)</f>
        <v>-0.18982977126802533</v>
      </c>
      <c r="T365" s="31">
        <f>SUMPRODUCT($Q$36:Q365,$E$36:E365)/E365-R365</f>
        <v>-4879.7292279988005</v>
      </c>
      <c r="U365" s="31">
        <f t="shared" si="60"/>
        <v>5861.3176543179379</v>
      </c>
      <c r="V365" s="31">
        <f t="shared" si="61"/>
        <v>6456.7176543179376</v>
      </c>
      <c r="W365" s="80" cm="1">
        <f t="array" ref="W365">IF($L$2&lt;&gt;1,IRR(IF(ROW($Q$36:Q365)=ROW(Q365),Q365+L365-K365,$Q$36:Q365),W364/12)*12,0)</f>
        <v>5.3320359402966311E-2</v>
      </c>
      <c r="X365" s="83">
        <f>(1+W365/12)^(B365)-1</f>
        <v>3.3000571233675329</v>
      </c>
    </row>
    <row r="366" spans="2:24" x14ac:dyDescent="0.25">
      <c r="B366" s="33">
        <v>330</v>
      </c>
      <c r="C366" s="81">
        <f t="shared" si="57"/>
        <v>27.5</v>
      </c>
      <c r="D366" s="105">
        <f t="shared" si="58"/>
        <v>3.9789301544717048E-3</v>
      </c>
      <c r="E366" s="106">
        <f t="shared" si="62"/>
        <v>0.26970093051818389</v>
      </c>
      <c r="F366" s="60">
        <f>rate</f>
        <v>3.2737397821989145E-3</v>
      </c>
      <c r="G366" s="31">
        <f>IF(AND(B365&gt;=gracia,12*años+gracia-B365&gt;0,$L$2&lt;&gt;1),PMT(F365,12*años-B365+gracia,-K365),0)</f>
        <v>19.168720484415225</v>
      </c>
      <c r="H366" s="31">
        <f>IF(AND(12*años+gracia-B365&gt;0,$L$2&lt;&gt;1),K365*F366,0)</f>
        <v>1.8470277125083581</v>
      </c>
      <c r="I366" s="31">
        <f>IF(AND(12*años+gracia-B365&gt;0,$L$2&lt;&gt;1),G366-H366,0)</f>
        <v>17.321692771906868</v>
      </c>
      <c r="J366" s="62"/>
      <c r="K366" s="61">
        <f t="shared" si="63"/>
        <v>546.87333658004161</v>
      </c>
      <c r="L366" s="61">
        <f>L365*(1+$J$17)^(1/12)</f>
        <v>10144.62956351866</v>
      </c>
      <c r="M366" s="31">
        <f t="shared" si="64"/>
        <v>12</v>
      </c>
      <c r="N366" s="31">
        <f t="shared" si="65"/>
        <v>0</v>
      </c>
      <c r="O366" s="31">
        <f t="shared" si="66"/>
        <v>-2.25</v>
      </c>
      <c r="P366" s="62"/>
      <c r="Q366" s="31">
        <f t="shared" si="59"/>
        <v>-9.4187204844152248</v>
      </c>
      <c r="R366" s="31">
        <f>SUM($Q$36:Q366)</f>
        <v>-3703.5777598570126</v>
      </c>
      <c r="S366" s="83">
        <f>IF($L$2&lt;&gt;1,-(R366-$R$36)/B366*12/$Q$36,0)</f>
        <v>-0.18982977126802533</v>
      </c>
      <c r="T366" s="31">
        <f>SUMPRODUCT($Q$36:Q366,$E$36:E366)/E366-R366</f>
        <v>-4913.8441305669148</v>
      </c>
      <c r="U366" s="31">
        <f t="shared" si="60"/>
        <v>5894.178467081606</v>
      </c>
      <c r="V366" s="31">
        <f t="shared" si="61"/>
        <v>6489.5784670816056</v>
      </c>
      <c r="W366" s="80" cm="1">
        <f t="array" ref="W366">IF($L$2&lt;&gt;1,IRR(IF(ROW($Q$36:Q366)=ROW(Q366),Q366+L366-K366,$Q$36:Q366),W365/12)*12,0)</f>
        <v>5.3269580056124255E-2</v>
      </c>
      <c r="X366" s="83">
        <f>(1+W366/12)^(B366)-1</f>
        <v>3.3131632612660793</v>
      </c>
    </row>
    <row r="367" spans="2:24" x14ac:dyDescent="0.25">
      <c r="B367" s="33">
        <v>331</v>
      </c>
      <c r="C367" s="81">
        <f t="shared" si="57"/>
        <v>27.583333333333332</v>
      </c>
      <c r="D367" s="105">
        <f t="shared" si="58"/>
        <v>3.9789301544717048E-3</v>
      </c>
      <c r="E367" s="106">
        <f t="shared" si="62"/>
        <v>0.26863206230502051</v>
      </c>
      <c r="F367" s="60">
        <f>rate</f>
        <v>3.2737397821989145E-3</v>
      </c>
      <c r="G367" s="31">
        <f>IF(AND(B366&gt;=gracia,12*años+gracia-B366&gt;0,$L$2&lt;&gt;1),PMT(F366,12*años-B366+gracia,-K366),0)</f>
        <v>19.168720484415225</v>
      </c>
      <c r="H367" s="31">
        <f>IF(AND(12*años+gracia-B366&gt;0,$L$2&lt;&gt;1),K366*F367,0)</f>
        <v>1.7903209977859391</v>
      </c>
      <c r="I367" s="31">
        <f>IF(AND(12*años+gracia-B366&gt;0,$L$2&lt;&gt;1),G367-H367,0)</f>
        <v>17.378399486629284</v>
      </c>
      <c r="J367" s="62"/>
      <c r="K367" s="61">
        <f t="shared" si="63"/>
        <v>529.49493709341232</v>
      </c>
      <c r="L367" s="61">
        <f>L366*(1+$J$17)^(1/12)</f>
        <v>10169.648956762385</v>
      </c>
      <c r="M367" s="31">
        <f t="shared" si="64"/>
        <v>12</v>
      </c>
      <c r="N367" s="31">
        <f t="shared" si="65"/>
        <v>0</v>
      </c>
      <c r="O367" s="31">
        <f t="shared" si="66"/>
        <v>-2.25</v>
      </c>
      <c r="P367" s="62"/>
      <c r="Q367" s="31">
        <f t="shared" si="59"/>
        <v>-9.4187204844152248</v>
      </c>
      <c r="R367" s="31">
        <f>SUM($Q$36:Q367)</f>
        <v>-3712.9964803414277</v>
      </c>
      <c r="S367" s="83">
        <f>IF($L$2&lt;&gt;1,-(R367-$R$36)/B367*12/$Q$36,0)</f>
        <v>-0.18982977126802533</v>
      </c>
      <c r="T367" s="31">
        <f>SUMPRODUCT($Q$36:Q367,$E$36:E367)/E367-R367</f>
        <v>-4948.1322503805277</v>
      </c>
      <c r="U367" s="31">
        <f t="shared" si="60"/>
        <v>5927.1575393275452</v>
      </c>
      <c r="V367" s="31">
        <f t="shared" si="61"/>
        <v>6522.5575393275449</v>
      </c>
      <c r="W367" s="80" cm="1">
        <f t="array" ref="W367">IF($L$2&lt;&gt;1,IRR(IF(ROW($Q$36:Q367)=ROW(Q367),Q367+L367-K367,$Q$36:Q367),W366/12)*12,0)</f>
        <v>5.3219026844603334E-2</v>
      </c>
      <c r="X367" s="83">
        <f>(1+W367/12)^(B367)-1</f>
        <v>3.3262997337953593</v>
      </c>
    </row>
    <row r="368" spans="2:24" x14ac:dyDescent="0.25">
      <c r="B368" s="33">
        <v>332</v>
      </c>
      <c r="C368" s="81">
        <f t="shared" si="57"/>
        <v>27.666666666666668</v>
      </c>
      <c r="D368" s="105">
        <f t="shared" si="58"/>
        <v>3.9789301544717048E-3</v>
      </c>
      <c r="E368" s="106">
        <f t="shared" si="62"/>
        <v>0.26756743018868823</v>
      </c>
      <c r="F368" s="60">
        <f>rate</f>
        <v>3.2737397821989145E-3</v>
      </c>
      <c r="G368" s="31">
        <f>IF(AND(B367&gt;=gracia,12*años+gracia-B367&gt;0,$L$2&lt;&gt;1),PMT(F367,12*años-B367+gracia,-K367),0)</f>
        <v>19.168720484415225</v>
      </c>
      <c r="H368" s="31">
        <f>IF(AND(12*años+gracia-B367&gt;0,$L$2&lt;&gt;1),K367*F368,0)</f>
        <v>1.7334286400356156</v>
      </c>
      <c r="I368" s="31">
        <f>IF(AND(12*años+gracia-B367&gt;0,$L$2&lt;&gt;1),G368-H368,0)</f>
        <v>17.435291844379609</v>
      </c>
      <c r="J368" s="62"/>
      <c r="K368" s="61">
        <f t="shared" si="63"/>
        <v>512.05964524903266</v>
      </c>
      <c r="L368" s="61">
        <f>L367*(1+$J$17)^(1/12)</f>
        <v>10194.730054579388</v>
      </c>
      <c r="M368" s="31">
        <f t="shared" si="64"/>
        <v>12</v>
      </c>
      <c r="N368" s="31">
        <f t="shared" si="65"/>
        <v>0</v>
      </c>
      <c r="O368" s="31">
        <f t="shared" si="66"/>
        <v>-2.25</v>
      </c>
      <c r="P368" s="62"/>
      <c r="Q368" s="31">
        <f t="shared" si="59"/>
        <v>-9.4187204844152248</v>
      </c>
      <c r="R368" s="31">
        <f>SUM($Q$36:Q368)</f>
        <v>-3722.4152008258429</v>
      </c>
      <c r="S368" s="83">
        <f>IF($L$2&lt;&gt;1,-(R368-$R$36)/B368*12/$Q$36,0)</f>
        <v>-0.18982977126802533</v>
      </c>
      <c r="T368" s="31">
        <f>SUMPRODUCT($Q$36:Q368,$E$36:E368)/E368-R368</f>
        <v>-4982.5942766589596</v>
      </c>
      <c r="U368" s="31">
        <f t="shared" si="60"/>
        <v>5960.2552085045118</v>
      </c>
      <c r="V368" s="31">
        <f t="shared" si="61"/>
        <v>6555.6552085045114</v>
      </c>
      <c r="W368" s="80" cm="1">
        <f t="array" ref="W368">IF($L$2&lt;&gt;1,IRR(IF(ROW($Q$36:Q368)=ROW(Q368),Q368+L368-K368,$Q$36:Q368),W367/12)*12,0)</f>
        <v>5.3168698389250757E-2</v>
      </c>
      <c r="X368" s="83">
        <f>(1+W368/12)^(B368)-1</f>
        <v>3.3394666543900202</v>
      </c>
    </row>
    <row r="369" spans="2:24" x14ac:dyDescent="0.25">
      <c r="B369" s="33">
        <v>333</v>
      </c>
      <c r="C369" s="81">
        <f t="shared" si="57"/>
        <v>27.75</v>
      </c>
      <c r="D369" s="105">
        <f t="shared" si="58"/>
        <v>3.9789301544717048E-3</v>
      </c>
      <c r="E369" s="106">
        <f t="shared" si="62"/>
        <v>0.26650701738085325</v>
      </c>
      <c r="F369" s="60">
        <f>rate</f>
        <v>3.2737397821989145E-3</v>
      </c>
      <c r="G369" s="31">
        <f>IF(AND(B368&gt;=gracia,12*años+gracia-B368&gt;0,$L$2&lt;&gt;1),PMT(F368,12*años-B368+gracia,-K368),0)</f>
        <v>19.168720484415221</v>
      </c>
      <c r="H369" s="31">
        <f>IF(AND(12*años+gracia-B368&gt;0,$L$2&lt;&gt;1),K368*F369,0)</f>
        <v>1.6763500315104216</v>
      </c>
      <c r="I369" s="31">
        <f>IF(AND(12*años+gracia-B368&gt;0,$L$2&lt;&gt;1),G369-H369,0)</f>
        <v>17.492370452904801</v>
      </c>
      <c r="J369" s="62"/>
      <c r="K369" s="61">
        <f t="shared" si="63"/>
        <v>494.56727479612783</v>
      </c>
      <c r="L369" s="61">
        <f>L368*(1+$J$17)^(1/12)</f>
        <v>10219.873009149793</v>
      </c>
      <c r="M369" s="31">
        <f t="shared" si="64"/>
        <v>12</v>
      </c>
      <c r="N369" s="31">
        <f t="shared" si="65"/>
        <v>0</v>
      </c>
      <c r="O369" s="31">
        <f t="shared" si="66"/>
        <v>-2.25</v>
      </c>
      <c r="P369" s="62"/>
      <c r="Q369" s="31">
        <f t="shared" si="59"/>
        <v>-9.4187204844152213</v>
      </c>
      <c r="R369" s="31">
        <f>SUM($Q$36:Q369)</f>
        <v>-3731.8339213102581</v>
      </c>
      <c r="S369" s="83">
        <f>IF($L$2&lt;&gt;1,-(R369-$R$36)/B369*12/$Q$36,0)</f>
        <v>-0.18982977126802533</v>
      </c>
      <c r="T369" s="31">
        <f>SUMPRODUCT($Q$36:Q369,$E$36:E369)/E369-R369</f>
        <v>-5017.2309013638851</v>
      </c>
      <c r="U369" s="31">
        <f t="shared" si="60"/>
        <v>5993.4718130434067</v>
      </c>
      <c r="V369" s="31">
        <f t="shared" si="61"/>
        <v>6588.8718130434063</v>
      </c>
      <c r="W369" s="80" cm="1">
        <f t="array" ref="W369">IF($L$2&lt;&gt;1,IRR(IF(ROW($Q$36:Q369)=ROW(Q369),Q369+L369-K369,$Q$36:Q369),W368/12)*12,0)</f>
        <v>5.3118593321140217E-2</v>
      </c>
      <c r="X369" s="83">
        <f>(1+W369/12)^(B369)-1</f>
        <v>3.3526641365899419</v>
      </c>
    </row>
    <row r="370" spans="2:24" x14ac:dyDescent="0.25">
      <c r="B370" s="33">
        <v>334</v>
      </c>
      <c r="C370" s="81">
        <f t="shared" si="57"/>
        <v>27.833333333333332</v>
      </c>
      <c r="D370" s="105">
        <f t="shared" si="58"/>
        <v>3.9789301544717048E-3</v>
      </c>
      <c r="E370" s="106">
        <f t="shared" si="62"/>
        <v>0.26545080715971658</v>
      </c>
      <c r="F370" s="60">
        <f>rate</f>
        <v>3.2737397821989145E-3</v>
      </c>
      <c r="G370" s="31">
        <f>IF(AND(B369&gt;=gracia,12*años+gracia-B369&gt;0,$L$2&lt;&gt;1),PMT(F369,12*años-B369+gracia,-K369),0)</f>
        <v>19.168720484415225</v>
      </c>
      <c r="H370" s="31">
        <f>IF(AND(12*años+gracia-B369&gt;0,$L$2&lt;&gt;1),K369*F370,0)</f>
        <v>1.6190845624737862</v>
      </c>
      <c r="I370" s="31">
        <f>IF(AND(12*años+gracia-B369&gt;0,$L$2&lt;&gt;1),G370-H370,0)</f>
        <v>17.549635921941437</v>
      </c>
      <c r="J370" s="62"/>
      <c r="K370" s="61">
        <f t="shared" si="63"/>
        <v>477.01763887418639</v>
      </c>
      <c r="L370" s="61">
        <f>L369*(1+$J$17)^(1/12)</f>
        <v>10245.077973029041</v>
      </c>
      <c r="M370" s="31">
        <f t="shared" si="64"/>
        <v>12</v>
      </c>
      <c r="N370" s="31">
        <f t="shared" si="65"/>
        <v>0</v>
      </c>
      <c r="O370" s="31">
        <f t="shared" si="66"/>
        <v>-2.25</v>
      </c>
      <c r="P370" s="62"/>
      <c r="Q370" s="31">
        <f t="shared" si="59"/>
        <v>-9.4187204844152248</v>
      </c>
      <c r="R370" s="31">
        <f>SUM($Q$36:Q370)</f>
        <v>-3741.2526417946733</v>
      </c>
      <c r="S370" s="83">
        <f>IF($L$2&lt;&gt;1,-(R370-$R$36)/B370*12/$Q$36,0)</f>
        <v>-0.18982977126802533</v>
      </c>
      <c r="T370" s="31">
        <f>SUMPRODUCT($Q$36:Q370,$E$36:E370)/E370-R370</f>
        <v>-5052.0428192102499</v>
      </c>
      <c r="U370" s="31">
        <f t="shared" si="60"/>
        <v>6026.807692360182</v>
      </c>
      <c r="V370" s="31">
        <f t="shared" si="61"/>
        <v>6622.2076923601817</v>
      </c>
      <c r="W370" s="80" cm="1">
        <f t="array" ref="W370">IF($L$2&lt;&gt;1,IRR(IF(ROW($Q$36:Q370)=ROW(Q370),Q370+L370-K370,$Q$36:Q370),W369/12)*12,0)</f>
        <v>5.3068710281483966E-2</v>
      </c>
      <c r="X370" s="83">
        <f>(1+W370/12)^(B370)-1</f>
        <v>3.3658922940411058</v>
      </c>
    </row>
    <row r="371" spans="2:24" x14ac:dyDescent="0.25">
      <c r="B371" s="33">
        <v>335</v>
      </c>
      <c r="C371" s="81">
        <f t="shared" si="57"/>
        <v>27.916666666666668</v>
      </c>
      <c r="D371" s="105">
        <f t="shared" si="58"/>
        <v>3.9789301544717048E-3</v>
      </c>
      <c r="E371" s="106">
        <f t="shared" si="62"/>
        <v>0.26439878286975049</v>
      </c>
      <c r="F371" s="60">
        <f>rate</f>
        <v>3.2737397821989145E-3</v>
      </c>
      <c r="G371" s="31">
        <f>IF(AND(B370&gt;=gracia,12*años+gracia-B370&gt;0,$L$2&lt;&gt;1),PMT(F370,12*años-B370+gracia,-K370),0)</f>
        <v>19.168720484415221</v>
      </c>
      <c r="H371" s="31">
        <f>IF(AND(12*años+gracia-B370&gt;0,$L$2&lt;&gt;1),K370*F371,0)</f>
        <v>1.5616316211930195</v>
      </c>
      <c r="I371" s="31">
        <f>IF(AND(12*años+gracia-B370&gt;0,$L$2&lt;&gt;1),G371-H371,0)</f>
        <v>17.607088863222202</v>
      </c>
      <c r="J371" s="62"/>
      <c r="K371" s="61">
        <f t="shared" si="63"/>
        <v>459.41055001096419</v>
      </c>
      <c r="L371" s="61">
        <f>L370*(1+$J$17)^(1/12)</f>
        <v>10270.345099148817</v>
      </c>
      <c r="M371" s="31">
        <f t="shared" si="64"/>
        <v>12</v>
      </c>
      <c r="N371" s="31">
        <f t="shared" si="65"/>
        <v>0</v>
      </c>
      <c r="O371" s="31">
        <f t="shared" si="66"/>
        <v>-2.25</v>
      </c>
      <c r="P371" s="62"/>
      <c r="Q371" s="31">
        <f t="shared" si="59"/>
        <v>-9.4187204844152213</v>
      </c>
      <c r="R371" s="31">
        <f>SUM($Q$36:Q371)</f>
        <v>-3750.6713622790885</v>
      </c>
      <c r="S371" s="83">
        <f>IF($L$2&lt;&gt;1,-(R371-$R$36)/B371*12/$Q$36,0)</f>
        <v>-0.18982977126802533</v>
      </c>
      <c r="T371" s="31">
        <f>SUMPRODUCT($Q$36:Q371,$E$36:E371)/E371-R371</f>
        <v>-5087.0307276772237</v>
      </c>
      <c r="U371" s="31">
        <f t="shared" si="60"/>
        <v>6060.2631868587641</v>
      </c>
      <c r="V371" s="31">
        <f t="shared" si="61"/>
        <v>6655.6631868587638</v>
      </c>
      <c r="W371" s="80" cm="1">
        <f t="array" ref="W371">IF($L$2&lt;&gt;1,IRR(IF(ROW($Q$36:Q371)=ROW(Q371),Q371+L371-K371,$Q$36:Q371),W370/12)*12,0)</f>
        <v>5.3019047921558204E-2</v>
      </c>
      <c r="X371" s="83">
        <f>(1+W371/12)^(B371)-1</f>
        <v>3.3791512404996018</v>
      </c>
    </row>
    <row r="372" spans="2:24" x14ac:dyDescent="0.25">
      <c r="B372" s="33">
        <v>336</v>
      </c>
      <c r="C372" s="81">
        <f t="shared" si="57"/>
        <v>28</v>
      </c>
      <c r="D372" s="105">
        <f t="shared" si="58"/>
        <v>3.9789301544717048E-3</v>
      </c>
      <c r="E372" s="106">
        <f t="shared" si="62"/>
        <v>0.26335092792143577</v>
      </c>
      <c r="F372" s="60">
        <f>rate</f>
        <v>3.2737397821989145E-3</v>
      </c>
      <c r="G372" s="31">
        <f>IF(AND(B371&gt;=gracia,12*años+gracia-B371&gt;0,$L$2&lt;&gt;1),PMT(F371,12*años-B371+gracia,-K371),0)</f>
        <v>19.168720484415221</v>
      </c>
      <c r="H372" s="31">
        <f>IF(AND(12*años+gracia-B371&gt;0,$L$2&lt;&gt;1),K371*F372,0)</f>
        <v>1.5039905939327773</v>
      </c>
      <c r="I372" s="31">
        <f>IF(AND(12*años+gracia-B371&gt;0,$L$2&lt;&gt;1),G372-H372,0)</f>
        <v>17.664729890482445</v>
      </c>
      <c r="J372" s="62"/>
      <c r="K372" s="61">
        <f t="shared" si="63"/>
        <v>441.74582012048177</v>
      </c>
      <c r="L372" s="61">
        <f>L371*(1+$J$17)^(1/12)</f>
        <v>10295.674540817976</v>
      </c>
      <c r="M372" s="31">
        <f t="shared" si="64"/>
        <v>12</v>
      </c>
      <c r="N372" s="31">
        <f t="shared" si="65"/>
        <v>0</v>
      </c>
      <c r="O372" s="31">
        <f t="shared" si="66"/>
        <v>-2.25</v>
      </c>
      <c r="P372" s="62"/>
      <c r="Q372" s="31">
        <f t="shared" si="59"/>
        <v>-9.4187204844152213</v>
      </c>
      <c r="R372" s="31">
        <f>SUM($Q$36:Q372)</f>
        <v>-3760.0900827635037</v>
      </c>
      <c r="S372" s="83">
        <f>IF($L$2&lt;&gt;1,-(R372-$R$36)/B372*12/$Q$36,0)</f>
        <v>-0.18982977126802533</v>
      </c>
      <c r="T372" s="31">
        <f>SUMPRODUCT($Q$36:Q372,$E$36:E372)/E372-R372</f>
        <v>-5122.1953270191898</v>
      </c>
      <c r="U372" s="31">
        <f t="shared" si="60"/>
        <v>6093.83863793399</v>
      </c>
      <c r="V372" s="31">
        <f t="shared" si="61"/>
        <v>6689.2386379339896</v>
      </c>
      <c r="W372" s="80" cm="1">
        <f t="array" ref="W372">IF($L$2&lt;&gt;1,IRR(IF(ROW($Q$36:Q372)=ROW(Q372),Q372+L372-K372,$Q$36:Q372),W371/12)*12,0)</f>
        <v>5.2969604902628475E-2</v>
      </c>
      <c r="X372" s="83">
        <f>(1+W372/12)^(B372)-1</f>
        <v>3.3924410898327331</v>
      </c>
    </row>
    <row r="373" spans="2:24" x14ac:dyDescent="0.25">
      <c r="B373" s="33">
        <v>337</v>
      </c>
      <c r="C373" s="81">
        <f t="shared" si="57"/>
        <v>28.083333333333332</v>
      </c>
      <c r="D373" s="105">
        <f t="shared" si="58"/>
        <v>3.9789301544717048E-3</v>
      </c>
      <c r="E373" s="106">
        <f t="shared" si="62"/>
        <v>0.26230722579100013</v>
      </c>
      <c r="F373" s="60">
        <f>rate</f>
        <v>3.2737397821989145E-3</v>
      </c>
      <c r="G373" s="31">
        <f>IF(AND(B372&gt;=gracia,12*años+gracia-B372&gt;0,$L$2&lt;&gt;1),PMT(F372,12*años-B372+gracia,-K372),0)</f>
        <v>19.168720484415221</v>
      </c>
      <c r="H373" s="31">
        <f>IF(AND(12*años+gracia-B372&gt;0,$L$2&lt;&gt;1),K372*F373,0)</f>
        <v>1.4461608649485069</v>
      </c>
      <c r="I373" s="31">
        <f>IF(AND(12*años+gracia-B372&gt;0,$L$2&lt;&gt;1),G373-H373,0)</f>
        <v>17.722559619466715</v>
      </c>
      <c r="J373" s="62"/>
      <c r="K373" s="61">
        <f t="shared" si="63"/>
        <v>424.02326050101505</v>
      </c>
      <c r="L373" s="61">
        <f>L372*(1+$J$17)^(1/12)</f>
        <v>10321.066451723473</v>
      </c>
      <c r="M373" s="31">
        <f t="shared" si="64"/>
        <v>12</v>
      </c>
      <c r="N373" s="31">
        <f t="shared" si="65"/>
        <v>0</v>
      </c>
      <c r="O373" s="31">
        <f t="shared" si="66"/>
        <v>-2.25</v>
      </c>
      <c r="P373" s="62"/>
      <c r="Q373" s="31">
        <f t="shared" si="59"/>
        <v>-9.4187204844152213</v>
      </c>
      <c r="R373" s="31">
        <f>SUM($Q$36:Q373)</f>
        <v>-3769.5088032479189</v>
      </c>
      <c r="S373" s="83">
        <f>IF($L$2&lt;&gt;1,-(R373-$R$36)/B373*12/$Q$36,0)</f>
        <v>-0.18982977126802533</v>
      </c>
      <c r="T373" s="31">
        <f>SUMPRODUCT($Q$36:Q373,$E$36:E373)/E373-R373</f>
        <v>-5157.5373202767978</v>
      </c>
      <c r="U373" s="31">
        <f t="shared" si="60"/>
        <v>6127.5343879745387</v>
      </c>
      <c r="V373" s="31">
        <f t="shared" si="61"/>
        <v>6722.9343879745384</v>
      </c>
      <c r="W373" s="80" cm="1">
        <f t="array" ref="W373">IF($L$2&lt;&gt;1,IRR(IF(ROW($Q$36:Q373)=ROW(Q373),Q373+L373-K373,$Q$36:Q373),W372/12)*12,0)</f>
        <v>5.2920379895869729E-2</v>
      </c>
      <c r="X373" s="83">
        <f>(1+W373/12)^(B373)-1</f>
        <v>3.4057619560222481</v>
      </c>
    </row>
    <row r="374" spans="2:24" x14ac:dyDescent="0.25">
      <c r="B374" s="33">
        <v>338</v>
      </c>
      <c r="C374" s="81">
        <f t="shared" si="57"/>
        <v>28.166666666666668</v>
      </c>
      <c r="D374" s="105">
        <f t="shared" si="58"/>
        <v>3.9789301544717048E-3</v>
      </c>
      <c r="E374" s="106">
        <f t="shared" si="62"/>
        <v>0.26126766002015767</v>
      </c>
      <c r="F374" s="60">
        <f>rate</f>
        <v>3.2737397821989145E-3</v>
      </c>
      <c r="G374" s="31">
        <f>IF(AND(B373&gt;=gracia,12*años+gracia-B373&gt;0,$L$2&lt;&gt;1),PMT(F373,12*años-B373+gracia,-K373),0)</f>
        <v>19.168720484415218</v>
      </c>
      <c r="H374" s="31">
        <f>IF(AND(12*años+gracia-B373&gt;0,$L$2&lt;&gt;1),K373*F374,0)</f>
        <v>1.3881418164798667</v>
      </c>
      <c r="I374" s="31">
        <f>IF(AND(12*años+gracia-B373&gt;0,$L$2&lt;&gt;1),G374-H374,0)</f>
        <v>17.780578667935352</v>
      </c>
      <c r="J374" s="62"/>
      <c r="K374" s="61">
        <f t="shared" si="63"/>
        <v>406.2426818330797</v>
      </c>
      <c r="L374" s="61">
        <f>L373*(1+$J$17)^(1/12)</f>
        <v>10346.520985931296</v>
      </c>
      <c r="M374" s="31">
        <f t="shared" si="64"/>
        <v>12</v>
      </c>
      <c r="N374" s="31">
        <f t="shared" si="65"/>
        <v>0</v>
      </c>
      <c r="O374" s="31">
        <f t="shared" si="66"/>
        <v>-2.25</v>
      </c>
      <c r="P374" s="62"/>
      <c r="Q374" s="31">
        <f t="shared" si="59"/>
        <v>-9.4187204844152177</v>
      </c>
      <c r="R374" s="31">
        <f>SUM($Q$36:Q374)</f>
        <v>-3778.9275237323341</v>
      </c>
      <c r="S374" s="83">
        <f>IF($L$2&lt;&gt;1,-(R374-$R$36)/B374*12/$Q$36,0)</f>
        <v>-0.18982977126802533</v>
      </c>
      <c r="T374" s="31">
        <f>SUMPRODUCT($Q$36:Q374,$E$36:E374)/E374-R374</f>
        <v>-5193.0574132880502</v>
      </c>
      <c r="U374" s="31">
        <f t="shared" si="60"/>
        <v>6161.3507803658822</v>
      </c>
      <c r="V374" s="31">
        <f t="shared" si="61"/>
        <v>6756.7507803658818</v>
      </c>
      <c r="W374" s="80" cm="1">
        <f t="array" ref="W374">IF($L$2&lt;&gt;1,IRR(IF(ROW($Q$36:Q374)=ROW(Q374),Q374+L374-K374,$Q$36:Q374),W373/12)*12,0)</f>
        <v>5.2871371582289051E-2</v>
      </c>
      <c r="X374" s="83">
        <f>(1+W374/12)^(B374)-1</f>
        <v>3.4191139531663275</v>
      </c>
    </row>
    <row r="375" spans="2:24" x14ac:dyDescent="0.25">
      <c r="B375" s="33">
        <v>339</v>
      </c>
      <c r="C375" s="81">
        <f t="shared" si="57"/>
        <v>28.25</v>
      </c>
      <c r="D375" s="105">
        <f t="shared" si="58"/>
        <v>3.9789301544717048E-3</v>
      </c>
      <c r="E375" s="106">
        <f t="shared" si="62"/>
        <v>0.2602322142158493</v>
      </c>
      <c r="F375" s="60">
        <f>rate</f>
        <v>3.2737397821989145E-3</v>
      </c>
      <c r="G375" s="31">
        <f>IF(AND(B374&gt;=gracia,12*años+gracia-B374&gt;0,$L$2&lt;&gt;1),PMT(F374,12*años-B374+gracia,-K374),0)</f>
        <v>19.168720484415221</v>
      </c>
      <c r="H375" s="31">
        <f>IF(AND(12*años+gracia-B374&gt;0,$L$2&lt;&gt;1),K374*F375,0)</f>
        <v>1.3299328287441292</v>
      </c>
      <c r="I375" s="31">
        <f>IF(AND(12*años+gracia-B374&gt;0,$L$2&lt;&gt;1),G375-H375,0)</f>
        <v>17.838787655671091</v>
      </c>
      <c r="J375" s="62"/>
      <c r="K375" s="61">
        <f t="shared" si="63"/>
        <v>388.40389417740863</v>
      </c>
      <c r="L375" s="61">
        <f>L374*(1+$J$17)^(1/12)</f>
        <v>10372.038297887404</v>
      </c>
      <c r="M375" s="31">
        <f t="shared" si="64"/>
        <v>12</v>
      </c>
      <c r="N375" s="31">
        <f t="shared" si="65"/>
        <v>0</v>
      </c>
      <c r="O375" s="31">
        <f t="shared" si="66"/>
        <v>-2.25</v>
      </c>
      <c r="P375" s="62"/>
      <c r="Q375" s="31">
        <f t="shared" si="59"/>
        <v>-9.4187204844152213</v>
      </c>
      <c r="R375" s="31">
        <f>SUM($Q$36:Q375)</f>
        <v>-3788.3462442167493</v>
      </c>
      <c r="S375" s="83">
        <f>IF($L$2&lt;&gt;1,-(R375-$R$36)/B375*12/$Q$36,0)</f>
        <v>-0.18982977126802533</v>
      </c>
      <c r="T375" s="31">
        <f>SUMPRODUCT($Q$36:Q375,$E$36:E375)/E375-R375</f>
        <v>-5228.7563146994253</v>
      </c>
      <c r="U375" s="31">
        <f t="shared" si="60"/>
        <v>6195.288159493246</v>
      </c>
      <c r="V375" s="31">
        <f t="shared" si="61"/>
        <v>6790.6881594932456</v>
      </c>
      <c r="W375" s="80" cm="1">
        <f t="array" ref="W375">IF($L$2&lt;&gt;1,IRR(IF(ROW($Q$36:Q375)=ROW(Q375),Q375+L375-K375,$Q$36:Q375),W374/12)*12,0)</f>
        <v>5.282257865266704E-2</v>
      </c>
      <c r="X375" s="83">
        <f>(1+W375/12)^(B375)-1</f>
        <v>3.432497195483589</v>
      </c>
    </row>
    <row r="376" spans="2:24" x14ac:dyDescent="0.25">
      <c r="B376" s="33">
        <v>340</v>
      </c>
      <c r="C376" s="81">
        <f t="shared" si="57"/>
        <v>28.333333333333332</v>
      </c>
      <c r="D376" s="105">
        <f t="shared" si="58"/>
        <v>3.9789301544717048E-3</v>
      </c>
      <c r="E376" s="106">
        <f t="shared" si="62"/>
        <v>0.25920087204998427</v>
      </c>
      <c r="F376" s="60">
        <f>rate</f>
        <v>3.2737397821989145E-3</v>
      </c>
      <c r="G376" s="31">
        <f>IF(AND(B375&gt;=gracia,12*años+gracia-B375&gt;0,$L$2&lt;&gt;1),PMT(F375,12*años-B375+gracia,-K375),0)</f>
        <v>19.168720484415221</v>
      </c>
      <c r="H376" s="31">
        <f>IF(AND(12*años+gracia-B375&gt;0,$L$2&lt;&gt;1),K375*F376,0)</f>
        <v>1.27153327992956</v>
      </c>
      <c r="I376" s="31">
        <f>IF(AND(12*años+gracia-B375&gt;0,$L$2&lt;&gt;1),G376-H376,0)</f>
        <v>17.897187204485661</v>
      </c>
      <c r="J376" s="62"/>
      <c r="K376" s="61">
        <f t="shared" si="63"/>
        <v>370.50670697292298</v>
      </c>
      <c r="L376" s="61">
        <f>L375*(1+$J$17)^(1/12)</f>
        <v>10397.618542418661</v>
      </c>
      <c r="M376" s="31">
        <f t="shared" si="64"/>
        <v>12</v>
      </c>
      <c r="N376" s="31">
        <f t="shared" si="65"/>
        <v>0</v>
      </c>
      <c r="O376" s="31">
        <f t="shared" si="66"/>
        <v>-2.25</v>
      </c>
      <c r="P376" s="62"/>
      <c r="Q376" s="31">
        <f t="shared" si="59"/>
        <v>-9.4187204844152213</v>
      </c>
      <c r="R376" s="31">
        <f>SUM($Q$36:Q376)</f>
        <v>-3797.7649647011644</v>
      </c>
      <c r="S376" s="83">
        <f>IF($L$2&lt;&gt;1,-(R376-$R$36)/B376*12/$Q$36,0)</f>
        <v>-0.18982977126802533</v>
      </c>
      <c r="T376" s="31">
        <f>SUMPRODUCT($Q$36:Q376,$E$36:E376)/E376-R376</f>
        <v>-5264.6347359770607</v>
      </c>
      <c r="U376" s="31">
        <f t="shared" si="60"/>
        <v>6229.3468707445736</v>
      </c>
      <c r="V376" s="31">
        <f t="shared" si="61"/>
        <v>6824.7468707445732</v>
      </c>
      <c r="W376" s="80" cm="1">
        <f t="array" ref="W376">IF($L$2&lt;&gt;1,IRR(IF(ROW($Q$36:Q376)=ROW(Q376),Q376+L376-K376,$Q$36:Q376),W375/12)*12,0)</f>
        <v>5.2773999807453897E-2</v>
      </c>
      <c r="X376" s="83">
        <f>(1+W376/12)^(B376)-1</f>
        <v>3.445911797313018</v>
      </c>
    </row>
    <row r="377" spans="2:24" x14ac:dyDescent="0.25">
      <c r="B377" s="33">
        <v>341</v>
      </c>
      <c r="C377" s="81">
        <f t="shared" si="57"/>
        <v>28.416666666666668</v>
      </c>
      <c r="D377" s="105">
        <f t="shared" si="58"/>
        <v>3.9789301544717048E-3</v>
      </c>
      <c r="E377" s="106">
        <f t="shared" si="62"/>
        <v>0.25817361725918264</v>
      </c>
      <c r="F377" s="60">
        <f>rate</f>
        <v>3.2737397821989145E-3</v>
      </c>
      <c r="G377" s="31">
        <f>IF(AND(B376&gt;=gracia,12*años+gracia-B376&gt;0,$L$2&lt;&gt;1),PMT(F376,12*años-B376+gracia,-K376),0)</f>
        <v>19.168720484415221</v>
      </c>
      <c r="H377" s="31">
        <f>IF(AND(12*años+gracia-B376&gt;0,$L$2&lt;&gt;1),K376*F377,0)</f>
        <v>1.212942546188774</v>
      </c>
      <c r="I377" s="31">
        <f>IF(AND(12*años+gracia-B376&gt;0,$L$2&lt;&gt;1),G377-H377,0)</f>
        <v>17.955777938226447</v>
      </c>
      <c r="J377" s="62"/>
      <c r="K377" s="61">
        <f t="shared" si="63"/>
        <v>352.55092903469654</v>
      </c>
      <c r="L377" s="61">
        <f>L376*(1+$J$17)^(1/12)</f>
        <v>10423.261874733773</v>
      </c>
      <c r="M377" s="31">
        <f t="shared" si="64"/>
        <v>12</v>
      </c>
      <c r="N377" s="31">
        <f t="shared" si="65"/>
        <v>0</v>
      </c>
      <c r="O377" s="31">
        <f t="shared" si="66"/>
        <v>-2.25</v>
      </c>
      <c r="P377" s="62"/>
      <c r="Q377" s="31">
        <f t="shared" si="59"/>
        <v>-9.4187204844152213</v>
      </c>
      <c r="R377" s="31">
        <f>SUM($Q$36:Q377)</f>
        <v>-3807.1836851855796</v>
      </c>
      <c r="S377" s="83">
        <f>IF($L$2&lt;&gt;1,-(R377-$R$36)/B377*12/$Q$36,0)</f>
        <v>-0.18982977126802533</v>
      </c>
      <c r="T377" s="31">
        <f>SUMPRODUCT($Q$36:Q377,$E$36:E377)/E377-R377</f>
        <v>-5300.6933914179654</v>
      </c>
      <c r="U377" s="31">
        <f t="shared" si="60"/>
        <v>6263.5272605134969</v>
      </c>
      <c r="V377" s="31">
        <f t="shared" si="61"/>
        <v>6858.9272605134965</v>
      </c>
      <c r="W377" s="80" cm="1">
        <f t="array" ref="W377">IF($L$2&lt;&gt;1,IRR(IF(ROW($Q$36:Q377)=ROW(Q377),Q377+L377-K377,$Q$36:Q377),W376/12)*12,0)</f>
        <v>5.2725633756721457E-2</v>
      </c>
      <c r="X377" s="83">
        <f>(1+W377/12)^(B377)-1</f>
        <v>3.4593578731192904</v>
      </c>
    </row>
    <row r="378" spans="2:24" x14ac:dyDescent="0.25">
      <c r="B378" s="33">
        <v>342</v>
      </c>
      <c r="C378" s="81">
        <f t="shared" si="57"/>
        <v>28.5</v>
      </c>
      <c r="D378" s="105">
        <f t="shared" si="58"/>
        <v>3.9789301544717048E-3</v>
      </c>
      <c r="E378" s="106">
        <f t="shared" si="62"/>
        <v>0.25715043364451901</v>
      </c>
      <c r="F378" s="60">
        <f>rate</f>
        <v>3.2737397821989145E-3</v>
      </c>
      <c r="G378" s="31">
        <f>IF(AND(B377&gt;=gracia,12*años+gracia-B377&gt;0,$L$2&lt;&gt;1),PMT(F377,12*años-B377+gracia,-K377),0)</f>
        <v>19.168720484415221</v>
      </c>
      <c r="H378" s="31">
        <f>IF(AND(12*años+gracia-B377&gt;0,$L$2&lt;&gt;1),K377*F378,0)</f>
        <v>1.1541600016320723</v>
      </c>
      <c r="I378" s="31">
        <f>IF(AND(12*años+gracia-B377&gt;0,$L$2&lt;&gt;1),G378-H378,0)</f>
        <v>18.01456048278315</v>
      </c>
      <c r="J378" s="62"/>
      <c r="K378" s="61">
        <f t="shared" si="63"/>
        <v>334.53636855191337</v>
      </c>
      <c r="L378" s="61">
        <f>L377*(1+$J$17)^(1/12)</f>
        <v>10448.968450424234</v>
      </c>
      <c r="M378" s="31">
        <f t="shared" si="64"/>
        <v>12</v>
      </c>
      <c r="N378" s="31">
        <f t="shared" si="65"/>
        <v>0</v>
      </c>
      <c r="O378" s="31">
        <f t="shared" si="66"/>
        <v>-2.25</v>
      </c>
      <c r="P378" s="62"/>
      <c r="Q378" s="31">
        <f t="shared" si="59"/>
        <v>-9.4187204844152213</v>
      </c>
      <c r="R378" s="31">
        <f>SUM($Q$36:Q378)</f>
        <v>-3816.6024056699948</v>
      </c>
      <c r="S378" s="83">
        <f>IF($L$2&lt;&gt;1,-(R378-$R$36)/B378*12/$Q$36,0)</f>
        <v>-0.18982977126802533</v>
      </c>
      <c r="T378" s="31">
        <f>SUMPRODUCT($Q$36:Q378,$E$36:E378)/E378-R378</f>
        <v>-5336.9329981612846</v>
      </c>
      <c r="U378" s="31">
        <f t="shared" si="60"/>
        <v>6297.8296762023256</v>
      </c>
      <c r="V378" s="31">
        <f t="shared" si="61"/>
        <v>6893.2296762023252</v>
      </c>
      <c r="W378" s="80" cm="1">
        <f t="array" ref="W378">IF($L$2&lt;&gt;1,IRR(IF(ROW($Q$36:Q378)=ROW(Q378),Q378+L378-K378,$Q$36:Q378),W377/12)*12,0)</f>
        <v>5.2677479220075263E-2</v>
      </c>
      <c r="X378" s="83">
        <f>(1+W378/12)^(B378)-1</f>
        <v>3.4728355374927151</v>
      </c>
    </row>
    <row r="379" spans="2:24" x14ac:dyDescent="0.25">
      <c r="B379" s="33">
        <v>343</v>
      </c>
      <c r="C379" s="81">
        <f t="shared" si="57"/>
        <v>28.583333333333332</v>
      </c>
      <c r="D379" s="105">
        <f t="shared" si="58"/>
        <v>3.9789301544717048E-3</v>
      </c>
      <c r="E379" s="106">
        <f t="shared" si="62"/>
        <v>0.25613130507126675</v>
      </c>
      <c r="F379" s="60">
        <f>rate</f>
        <v>3.2737397821989145E-3</v>
      </c>
      <c r="G379" s="31">
        <f>IF(AND(B378&gt;=gracia,12*años+gracia-B378&gt;0,$L$2&lt;&gt;1),PMT(F378,12*años-B378+gracia,-K378),0)</f>
        <v>19.168720484415221</v>
      </c>
      <c r="H379" s="31">
        <f>IF(AND(12*años+gracia-B378&gt;0,$L$2&lt;&gt;1),K378*F379,0)</f>
        <v>1.0951850183207568</v>
      </c>
      <c r="I379" s="31">
        <f>IF(AND(12*años+gracia-B378&gt;0,$L$2&lt;&gt;1),G379-H379,0)</f>
        <v>18.073535466094466</v>
      </c>
      <c r="J379" s="62"/>
      <c r="K379" s="61">
        <f t="shared" si="63"/>
        <v>316.46283308581889</v>
      </c>
      <c r="L379" s="61">
        <f>L378*(1+$J$17)^(1/12)</f>
        <v>10474.73842546527</v>
      </c>
      <c r="M379" s="31">
        <f t="shared" si="64"/>
        <v>12</v>
      </c>
      <c r="N379" s="31">
        <f t="shared" si="65"/>
        <v>0</v>
      </c>
      <c r="O379" s="31">
        <f t="shared" si="66"/>
        <v>-2.25</v>
      </c>
      <c r="P379" s="62"/>
      <c r="Q379" s="31">
        <f t="shared" si="59"/>
        <v>-9.4187204844152213</v>
      </c>
      <c r="R379" s="31">
        <f>SUM($Q$36:Q379)</f>
        <v>-3826.02112615441</v>
      </c>
      <c r="S379" s="83">
        <f>IF($L$2&lt;&gt;1,-(R379-$R$36)/B379*12/$Q$36,0)</f>
        <v>-0.18982977126802533</v>
      </c>
      <c r="T379" s="31">
        <f>SUMPRODUCT($Q$36:Q379,$E$36:E379)/E379-R379</f>
        <v>-5373.3542761996141</v>
      </c>
      <c r="U379" s="31">
        <f t="shared" si="60"/>
        <v>6332.2544662250411</v>
      </c>
      <c r="V379" s="31">
        <f t="shared" si="61"/>
        <v>6927.6544662250408</v>
      </c>
      <c r="W379" s="80" cm="1">
        <f t="array" ref="W379">IF($L$2&lt;&gt;1,IRR(IF(ROW($Q$36:Q379)=ROW(Q379),Q379+L379-K379,$Q$36:Q379),W378/12)*12,0)</f>
        <v>5.2629534926577293E-2</v>
      </c>
      <c r="X379" s="83">
        <f>(1+W379/12)^(B379)-1</f>
        <v>3.4863449051528361</v>
      </c>
    </row>
    <row r="380" spans="2:24" x14ac:dyDescent="0.25">
      <c r="B380" s="33">
        <v>344</v>
      </c>
      <c r="C380" s="81">
        <f t="shared" si="57"/>
        <v>28.666666666666668</v>
      </c>
      <c r="D380" s="105">
        <f t="shared" si="58"/>
        <v>3.9789301544717048E-3</v>
      </c>
      <c r="E380" s="106">
        <f t="shared" si="62"/>
        <v>0.25511621546864388</v>
      </c>
      <c r="F380" s="60">
        <f>rate</f>
        <v>3.2737397821989145E-3</v>
      </c>
      <c r="G380" s="31">
        <f>IF(AND(B379&gt;=gracia,12*años+gracia-B379&gt;0,$L$2&lt;&gt;1),PMT(F379,12*años-B379+gracia,-K379),0)</f>
        <v>19.168720484415221</v>
      </c>
      <c r="H380" s="31">
        <f>IF(AND(12*años+gracia-B379&gt;0,$L$2&lt;&gt;1),K379*F380,0)</f>
        <v>1.0360169662604202</v>
      </c>
      <c r="I380" s="31">
        <f>IF(AND(12*años+gracia-B379&gt;0,$L$2&lt;&gt;1),G380-H380,0)</f>
        <v>18.132703518154802</v>
      </c>
      <c r="J380" s="62"/>
      <c r="K380" s="61">
        <f t="shared" si="63"/>
        <v>298.33012956766407</v>
      </c>
      <c r="L380" s="61">
        <f>L379*(1+$J$17)^(1/12)</f>
        <v>10500.571956216783</v>
      </c>
      <c r="M380" s="31">
        <f t="shared" si="64"/>
        <v>12</v>
      </c>
      <c r="N380" s="31">
        <f t="shared" si="65"/>
        <v>0</v>
      </c>
      <c r="O380" s="31">
        <f t="shared" si="66"/>
        <v>-2.25</v>
      </c>
      <c r="P380" s="62"/>
      <c r="Q380" s="31">
        <f t="shared" si="59"/>
        <v>-9.4187204844152213</v>
      </c>
      <c r="R380" s="31">
        <f>SUM($Q$36:Q380)</f>
        <v>-3835.4398466388252</v>
      </c>
      <c r="S380" s="83">
        <f>IF($L$2&lt;&gt;1,-(R380-$R$36)/B380*12/$Q$36,0)</f>
        <v>-0.18982977126802533</v>
      </c>
      <c r="T380" s="31">
        <f>SUMPRODUCT($Q$36:Q380,$E$36:E380)/E380-R380</f>
        <v>-5409.9579483903453</v>
      </c>
      <c r="U380" s="31">
        <f t="shared" si="60"/>
        <v>6366.8019800102938</v>
      </c>
      <c r="V380" s="31">
        <f t="shared" si="61"/>
        <v>6962.2019800102935</v>
      </c>
      <c r="W380" s="80" cm="1">
        <f t="array" ref="W380">IF($L$2&lt;&gt;1,IRR(IF(ROW($Q$36:Q380)=ROW(Q380),Q380+L380-K380,$Q$36:Q380),W379/12)*12,0)</f>
        <v>5.2581799614679348E-2</v>
      </c>
      <c r="X380" s="83">
        <f>(1+W380/12)^(B380)-1</f>
        <v>3.4998860909500822</v>
      </c>
    </row>
    <row r="381" spans="2:24" x14ac:dyDescent="0.25">
      <c r="B381" s="33">
        <v>345</v>
      </c>
      <c r="C381" s="81">
        <f t="shared" si="57"/>
        <v>28.75</v>
      </c>
      <c r="D381" s="105">
        <f t="shared" si="58"/>
        <v>3.9789301544717048E-3</v>
      </c>
      <c r="E381" s="106">
        <f t="shared" si="62"/>
        <v>0.25410514882955942</v>
      </c>
      <c r="F381" s="60">
        <f>rate</f>
        <v>3.2737397821989145E-3</v>
      </c>
      <c r="G381" s="31">
        <f>IF(AND(B380&gt;=gracia,12*años+gracia-B380&gt;0,$L$2&lt;&gt;1),PMT(F380,12*años-B380+gracia,-K380),0)</f>
        <v>19.168720484415221</v>
      </c>
      <c r="H381" s="31">
        <f>IF(AND(12*años+gracia-B380&gt;0,$L$2&lt;&gt;1),K380*F381,0)</f>
        <v>0.97665521339421857</v>
      </c>
      <c r="I381" s="31">
        <f>IF(AND(12*años+gracia-B380&gt;0,$L$2&lt;&gt;1),G381-H381,0)</f>
        <v>18.192065271021004</v>
      </c>
      <c r="J381" s="62"/>
      <c r="K381" s="61">
        <f t="shared" si="63"/>
        <v>280.13806429664305</v>
      </c>
      <c r="L381" s="61">
        <f>L380*(1+$J$17)^(1/12)</f>
        <v>10526.4691994243</v>
      </c>
      <c r="M381" s="31">
        <f t="shared" si="64"/>
        <v>12</v>
      </c>
      <c r="N381" s="31">
        <f t="shared" si="65"/>
        <v>0</v>
      </c>
      <c r="O381" s="31">
        <f t="shared" si="66"/>
        <v>-2.25</v>
      </c>
      <c r="P381" s="62"/>
      <c r="Q381" s="31">
        <f t="shared" si="59"/>
        <v>-9.4187204844152213</v>
      </c>
      <c r="R381" s="31">
        <f>SUM($Q$36:Q381)</f>
        <v>-3844.8585671232404</v>
      </c>
      <c r="S381" s="83">
        <f>IF($L$2&lt;&gt;1,-(R381-$R$36)/B381*12/$Q$36,0)</f>
        <v>-0.18982977126802533</v>
      </c>
      <c r="T381" s="31">
        <f>SUMPRODUCT($Q$36:Q381,$E$36:E381)/E381-R381</f>
        <v>-5446.744740467072</v>
      </c>
      <c r="U381" s="31">
        <f t="shared" si="60"/>
        <v>6401.4725680044166</v>
      </c>
      <c r="V381" s="31">
        <f t="shared" si="61"/>
        <v>6996.8725680044163</v>
      </c>
      <c r="W381" s="80" cm="1">
        <f t="array" ref="W381">IF($L$2&lt;&gt;1,IRR(IF(ROW($Q$36:Q381)=ROW(Q381),Q381+L381-K381,$Q$36:Q381),W380/12)*12,0)</f>
        <v>5.2534272032156437E-2</v>
      </c>
      <c r="X381" s="83">
        <f>(1+W381/12)^(B381)-1</f>
        <v>3.5134592098698594</v>
      </c>
    </row>
    <row r="382" spans="2:24" x14ac:dyDescent="0.25">
      <c r="B382" s="33">
        <v>346</v>
      </c>
      <c r="C382" s="81">
        <f t="shared" si="57"/>
        <v>28.833333333333332</v>
      </c>
      <c r="D382" s="105">
        <f t="shared" si="58"/>
        <v>3.9789301544717048E-3</v>
      </c>
      <c r="E382" s="106">
        <f t="shared" si="62"/>
        <v>0.25309808921036114</v>
      </c>
      <c r="F382" s="60">
        <f>rate</f>
        <v>3.2737397821989145E-3</v>
      </c>
      <c r="G382" s="31">
        <f>IF(AND(B381&gt;=gracia,12*años+gracia-B381&gt;0,$L$2&lt;&gt;1),PMT(F381,12*años-B381+gracia,-K381),0)</f>
        <v>19.168720484415218</v>
      </c>
      <c r="H382" s="31">
        <f>IF(AND(12*años+gracia-B381&gt;0,$L$2&lt;&gt;1),K381*F382,0)</f>
        <v>0.91709912559611773</v>
      </c>
      <c r="I382" s="31">
        <f>IF(AND(12*años+gracia-B381&gt;0,$L$2&lt;&gt;1),G382-H382,0)</f>
        <v>18.251621358819101</v>
      </c>
      <c r="J382" s="62"/>
      <c r="K382" s="61">
        <f t="shared" si="63"/>
        <v>261.88644293782397</v>
      </c>
      <c r="L382" s="61">
        <f>L381*(1+$J$17)^(1/12)</f>
        <v>10552.430312219927</v>
      </c>
      <c r="M382" s="31">
        <f t="shared" si="64"/>
        <v>12</v>
      </c>
      <c r="N382" s="31">
        <f t="shared" si="65"/>
        <v>0</v>
      </c>
      <c r="O382" s="31">
        <f t="shared" si="66"/>
        <v>-2.25</v>
      </c>
      <c r="P382" s="62"/>
      <c r="Q382" s="31">
        <f t="shared" si="59"/>
        <v>-9.4187204844152177</v>
      </c>
      <c r="R382" s="31">
        <f>SUM($Q$36:Q382)</f>
        <v>-3854.2772876076556</v>
      </c>
      <c r="S382" s="83">
        <f>IF($L$2&lt;&gt;1,-(R382-$R$36)/B382*12/$Q$36,0)</f>
        <v>-0.18982977126802533</v>
      </c>
      <c r="T382" s="31">
        <f>SUMPRODUCT($Q$36:Q382,$E$36:E382)/E382-R382</f>
        <v>-5483.7153810510317</v>
      </c>
      <c r="U382" s="31">
        <f t="shared" si="60"/>
        <v>6436.2665816744475</v>
      </c>
      <c r="V382" s="31">
        <f t="shared" si="61"/>
        <v>7031.6665816744471</v>
      </c>
      <c r="W382" s="80" cm="1">
        <f t="array" ref="W382">IF($L$2&lt;&gt;1,IRR(IF(ROW($Q$36:Q382)=ROW(Q382),Q382+L382-K382,$Q$36:Q382),W381/12)*12,0)</f>
        <v>5.2486950936016186E-2</v>
      </c>
      <c r="X382" s="83">
        <f>(1+W382/12)^(B382)-1</f>
        <v>3.5270643770329357</v>
      </c>
    </row>
    <row r="383" spans="2:24" x14ac:dyDescent="0.25">
      <c r="B383" s="33">
        <v>347</v>
      </c>
      <c r="C383" s="81">
        <f t="shared" si="57"/>
        <v>28.916666666666668</v>
      </c>
      <c r="D383" s="105">
        <f t="shared" si="58"/>
        <v>3.9789301544717048E-3</v>
      </c>
      <c r="E383" s="106">
        <f t="shared" si="62"/>
        <v>0.25209502073058404</v>
      </c>
      <c r="F383" s="60">
        <f>rate</f>
        <v>3.2737397821989145E-3</v>
      </c>
      <c r="G383" s="31">
        <f>IF(AND(B382&gt;=gracia,12*años+gracia-B382&gt;0,$L$2&lt;&gt;1),PMT(F382,12*años-B382+gracia,-K382),0)</f>
        <v>19.168720484415218</v>
      </c>
      <c r="H383" s="31">
        <f>IF(AND(12*años+gracia-B382&gt;0,$L$2&lt;&gt;1),K382*F383,0)</f>
        <v>0.85734806666412033</v>
      </c>
      <c r="I383" s="31">
        <f>IF(AND(12*años+gracia-B382&gt;0,$L$2&lt;&gt;1),G383-H383,0)</f>
        <v>18.311372417751098</v>
      </c>
      <c r="J383" s="62"/>
      <c r="K383" s="61">
        <f t="shared" si="63"/>
        <v>243.57507052007287</v>
      </c>
      <c r="L383" s="61">
        <f>L382*(1+$J$17)^(1/12)</f>
        <v>10578.455452123297</v>
      </c>
      <c r="M383" s="31">
        <f t="shared" si="64"/>
        <v>12</v>
      </c>
      <c r="N383" s="31">
        <f t="shared" si="65"/>
        <v>0</v>
      </c>
      <c r="O383" s="31">
        <f t="shared" si="66"/>
        <v>-2.25</v>
      </c>
      <c r="P383" s="62"/>
      <c r="Q383" s="31">
        <f t="shared" si="59"/>
        <v>-9.4187204844152177</v>
      </c>
      <c r="R383" s="31">
        <f>SUM($Q$36:Q383)</f>
        <v>-3863.6960080920708</v>
      </c>
      <c r="S383" s="83">
        <f>IF($L$2&lt;&gt;1,-(R383-$R$36)/B383*12/$Q$36,0)</f>
        <v>-0.18982977126802533</v>
      </c>
      <c r="T383" s="31">
        <f>SUMPRODUCT($Q$36:Q383,$E$36:E383)/E383-R383</f>
        <v>-5520.8706016625965</v>
      </c>
      <c r="U383" s="31">
        <f t="shared" si="60"/>
        <v>6471.1843735111534</v>
      </c>
      <c r="V383" s="31">
        <f t="shared" si="61"/>
        <v>7066.584373511153</v>
      </c>
      <c r="W383" s="80" cm="1">
        <f t="array" ref="W383">IF($L$2&lt;&gt;1,IRR(IF(ROW($Q$36:Q383)=ROW(Q383),Q383+L383-K383,$Q$36:Q383),W382/12)*12,0)</f>
        <v>5.2439835092440212E-2</v>
      </c>
      <c r="X383" s="83">
        <f>(1+W383/12)^(B383)-1</f>
        <v>3.540701707698469</v>
      </c>
    </row>
    <row r="384" spans="2:24" x14ac:dyDescent="0.25">
      <c r="B384" s="33">
        <v>348</v>
      </c>
      <c r="C384" s="81">
        <f t="shared" si="57"/>
        <v>29</v>
      </c>
      <c r="D384" s="105">
        <f t="shared" si="58"/>
        <v>3.9789301544717048E-3</v>
      </c>
      <c r="E384" s="106">
        <f t="shared" si="62"/>
        <v>0.2510959275727</v>
      </c>
      <c r="F384" s="60">
        <f>rate</f>
        <v>3.2737397821989145E-3</v>
      </c>
      <c r="G384" s="31">
        <f>IF(AND(B383&gt;=gracia,12*años+gracia-B383&gt;0,$L$2&lt;&gt;1),PMT(F383,12*años-B383+gracia,-K383),0)</f>
        <v>19.168720484415221</v>
      </c>
      <c r="H384" s="31">
        <f>IF(AND(12*años+gracia-B383&gt;0,$L$2&lt;&gt;1),K383*F384,0)</f>
        <v>0.79740139831346857</v>
      </c>
      <c r="I384" s="31">
        <f>IF(AND(12*años+gracia-B383&gt;0,$L$2&lt;&gt;1),G384-H384,0)</f>
        <v>18.371319086101753</v>
      </c>
      <c r="J384" s="62"/>
      <c r="K384" s="61">
        <f t="shared" si="63"/>
        <v>225.20375143397112</v>
      </c>
      <c r="L384" s="61">
        <f>L383*(1+$J$17)^(1/12)</f>
        <v>10604.544777042529</v>
      </c>
      <c r="M384" s="31">
        <f t="shared" si="64"/>
        <v>12</v>
      </c>
      <c r="N384" s="31">
        <f t="shared" si="65"/>
        <v>0</v>
      </c>
      <c r="O384" s="31">
        <f t="shared" si="66"/>
        <v>-2.25</v>
      </c>
      <c r="P384" s="62"/>
      <c r="Q384" s="31">
        <f t="shared" si="59"/>
        <v>-9.4187204844152213</v>
      </c>
      <c r="R384" s="31">
        <f>SUM($Q$36:Q384)</f>
        <v>-3873.114728576486</v>
      </c>
      <c r="S384" s="83">
        <f>IF($L$2&lt;&gt;1,-(R384-$R$36)/B384*12/$Q$36,0)</f>
        <v>-0.18982977126802533</v>
      </c>
      <c r="T384" s="31">
        <f>SUMPRODUCT($Q$36:Q384,$E$36:E384)/E384-R384</f>
        <v>-5558.211136732798</v>
      </c>
      <c r="U384" s="31">
        <f t="shared" si="60"/>
        <v>6506.2262970320717</v>
      </c>
      <c r="V384" s="31">
        <f t="shared" si="61"/>
        <v>7101.6262970320713</v>
      </c>
      <c r="W384" s="80" cm="1">
        <f t="array" ref="W384">IF($L$2&lt;&gt;1,IRR(IF(ROW($Q$36:Q384)=ROW(Q384),Q384+L384-K384,$Q$36:Q384),W383/12)*12,0)</f>
        <v>5.2392923276712189E-2</v>
      </c>
      <c r="X384" s="83">
        <f>(1+W384/12)^(B384)-1</f>
        <v>3.5543713172676776</v>
      </c>
    </row>
    <row r="385" spans="2:24" x14ac:dyDescent="0.25">
      <c r="B385" s="33">
        <v>349</v>
      </c>
      <c r="C385" s="81">
        <f t="shared" si="57"/>
        <v>29.083333333333332</v>
      </c>
      <c r="D385" s="105">
        <f t="shared" si="58"/>
        <v>3.9789301544717048E-3</v>
      </c>
      <c r="E385" s="106">
        <f t="shared" si="62"/>
        <v>0.25010079398186824</v>
      </c>
      <c r="F385" s="60">
        <f>rate</f>
        <v>3.2737397821989145E-3</v>
      </c>
      <c r="G385" s="31">
        <f>IF(AND(B384&gt;=gracia,12*años+gracia-B384&gt;0,$L$2&lt;&gt;1),PMT(F384,12*años-B384+gracia,-K384),0)</f>
        <v>19.168720484415221</v>
      </c>
      <c r="H385" s="31">
        <f>IF(AND(12*años+gracia-B384&gt;0,$L$2&lt;&gt;1),K384*F385,0)</f>
        <v>0.73725848016982709</v>
      </c>
      <c r="I385" s="31">
        <f>IF(AND(12*años+gracia-B384&gt;0,$L$2&lt;&gt;1),G385-H385,0)</f>
        <v>18.431462004245393</v>
      </c>
      <c r="J385" s="62"/>
      <c r="K385" s="61">
        <f t="shared" si="63"/>
        <v>206.77228942972573</v>
      </c>
      <c r="L385" s="61">
        <f>L384*(1+$J$17)^(1/12)</f>
        <v>10630.698445275189</v>
      </c>
      <c r="M385" s="31">
        <f t="shared" si="64"/>
        <v>12</v>
      </c>
      <c r="N385" s="31">
        <f t="shared" si="65"/>
        <v>0</v>
      </c>
      <c r="O385" s="31">
        <f t="shared" si="66"/>
        <v>-2.25</v>
      </c>
      <c r="P385" s="62"/>
      <c r="Q385" s="31">
        <f t="shared" si="59"/>
        <v>-9.4187204844152213</v>
      </c>
      <c r="R385" s="31">
        <f>SUM($Q$36:Q385)</f>
        <v>-3882.5334490609011</v>
      </c>
      <c r="S385" s="83">
        <f>IF($L$2&lt;&gt;1,-(R385-$R$36)/B385*12/$Q$36,0)</f>
        <v>-0.18982977126802533</v>
      </c>
      <c r="T385" s="31">
        <f>SUMPRODUCT($Q$36:Q385,$E$36:E385)/E385-R385</f>
        <v>-5595.7377236149232</v>
      </c>
      <c r="U385" s="31">
        <f t="shared" si="60"/>
        <v>6541.3927067845625</v>
      </c>
      <c r="V385" s="31">
        <f t="shared" si="61"/>
        <v>7136.7927067845621</v>
      </c>
      <c r="W385" s="80" cm="1">
        <f t="array" ref="W385">IF($L$2&lt;&gt;1,IRR(IF(ROW($Q$36:Q385)=ROW(Q385),Q385+L385-K385,$Q$36:Q385),W384/12)*12,0)</f>
        <v>5.2346214273127245E-2</v>
      </c>
      <c r="X385" s="83">
        <f>(1+W385/12)^(B385)-1</f>
        <v>3.5680733212826299</v>
      </c>
    </row>
    <row r="386" spans="2:24" x14ac:dyDescent="0.25">
      <c r="B386" s="33">
        <v>350</v>
      </c>
      <c r="C386" s="81">
        <f t="shared" si="57"/>
        <v>29.166666666666668</v>
      </c>
      <c r="D386" s="105">
        <f t="shared" si="58"/>
        <v>3.9789301544717048E-3</v>
      </c>
      <c r="E386" s="106">
        <f t="shared" si="62"/>
        <v>0.24910960426568698</v>
      </c>
      <c r="F386" s="60">
        <f>rate</f>
        <v>3.2737397821989145E-3</v>
      </c>
      <c r="G386" s="31">
        <f>IF(AND(B385&gt;=gracia,12*años+gracia-B385&gt;0,$L$2&lt;&gt;1),PMT(F385,12*años-B385+gracia,-K385),0)</f>
        <v>19.168720484415214</v>
      </c>
      <c r="H386" s="31">
        <f>IF(AND(12*años+gracia-B385&gt;0,$L$2&lt;&gt;1),K385*F386,0)</f>
        <v>0.67691866976244119</v>
      </c>
      <c r="I386" s="31">
        <f>IF(AND(12*años+gracia-B385&gt;0,$L$2&lt;&gt;1),G386-H386,0)</f>
        <v>18.491801814652774</v>
      </c>
      <c r="J386" s="62"/>
      <c r="K386" s="61">
        <f t="shared" si="63"/>
        <v>188.28048761507296</v>
      </c>
      <c r="L386" s="61">
        <f>L385*(1+$J$17)^(1/12)</f>
        <v>10656.916615509248</v>
      </c>
      <c r="M386" s="31">
        <f t="shared" si="64"/>
        <v>12</v>
      </c>
      <c r="N386" s="31">
        <f t="shared" si="65"/>
        <v>0</v>
      </c>
      <c r="O386" s="31">
        <f t="shared" si="66"/>
        <v>-2.25</v>
      </c>
      <c r="P386" s="62"/>
      <c r="Q386" s="31">
        <f t="shared" si="59"/>
        <v>-9.4187204844152141</v>
      </c>
      <c r="R386" s="31">
        <f>SUM($Q$36:Q386)</f>
        <v>-3891.9521695453163</v>
      </c>
      <c r="S386" s="83">
        <f>IF($L$2&lt;&gt;1,-(R386-$R$36)/B386*12/$Q$36,0)</f>
        <v>-0.18982977126802533</v>
      </c>
      <c r="T386" s="31">
        <f>SUMPRODUCT($Q$36:Q386,$E$36:E386)/E386-R386</f>
        <v>-5633.4511025961419</v>
      </c>
      <c r="U386" s="31">
        <f t="shared" si="60"/>
        <v>6576.6839583488581</v>
      </c>
      <c r="V386" s="31">
        <f t="shared" si="61"/>
        <v>7172.0839583488578</v>
      </c>
      <c r="W386" s="80" cm="1">
        <f t="array" ref="W386">IF($L$2&lt;&gt;1,IRR(IF(ROW($Q$36:Q386)=ROW(Q386),Q386+L386-K386,$Q$36:Q386),W385/12)*12,0)</f>
        <v>5.2299706874952001E-2</v>
      </c>
      <c r="X386" s="83">
        <f>(1+W386/12)^(B386)-1</f>
        <v>3.5818078354329286</v>
      </c>
    </row>
    <row r="387" spans="2:24" x14ac:dyDescent="0.25">
      <c r="B387" s="33">
        <v>351</v>
      </c>
      <c r="C387" s="81">
        <f t="shared" si="57"/>
        <v>29.25</v>
      </c>
      <c r="D387" s="105">
        <f t="shared" si="58"/>
        <v>3.9789301544717048E-3</v>
      </c>
      <c r="E387" s="106">
        <f t="shared" si="62"/>
        <v>0.24812234279394599</v>
      </c>
      <c r="F387" s="60">
        <f>rate</f>
        <v>3.2737397821989145E-3</v>
      </c>
      <c r="G387" s="31">
        <f>IF(AND(B386&gt;=gracia,12*años+gracia-B386&gt;0,$L$2&lt;&gt;1),PMT(F386,12*años-B386+gracia,-K386),0)</f>
        <v>19.168720484415214</v>
      </c>
      <c r="H387" s="31">
        <f>IF(AND(12*años+gracia-B386&gt;0,$L$2&lt;&gt;1),K386*F387,0)</f>
        <v>0.6163813225172744</v>
      </c>
      <c r="I387" s="31">
        <f>IF(AND(12*años+gracia-B386&gt;0,$L$2&lt;&gt;1),G387-H387,0)</f>
        <v>18.55233916189794</v>
      </c>
      <c r="J387" s="62"/>
      <c r="K387" s="61">
        <f t="shared" si="63"/>
        <v>169.72814845317501</v>
      </c>
      <c r="L387" s="61">
        <f>L386*(1+$J$17)^(1/12)</f>
        <v>10683.199446824039</v>
      </c>
      <c r="M387" s="31">
        <f t="shared" si="64"/>
        <v>12</v>
      </c>
      <c r="N387" s="31">
        <f t="shared" si="65"/>
        <v>0</v>
      </c>
      <c r="O387" s="31">
        <f t="shared" si="66"/>
        <v>-2.25</v>
      </c>
      <c r="P387" s="62"/>
      <c r="Q387" s="31">
        <f t="shared" si="59"/>
        <v>-9.4187204844152141</v>
      </c>
      <c r="R387" s="31">
        <f>SUM($Q$36:Q387)</f>
        <v>-3901.3708900297315</v>
      </c>
      <c r="S387" s="83">
        <f>IF($L$2&lt;&gt;1,-(R387-$R$36)/B387*12/$Q$36,0)</f>
        <v>-0.18982977126802533</v>
      </c>
      <c r="T387" s="31">
        <f>SUMPRODUCT($Q$36:Q387,$E$36:E387)/E387-R387</f>
        <v>-5671.3520169091717</v>
      </c>
      <c r="U387" s="31">
        <f t="shared" si="60"/>
        <v>6612.1004083411326</v>
      </c>
      <c r="V387" s="31">
        <f t="shared" si="61"/>
        <v>7207.5004083411322</v>
      </c>
      <c r="W387" s="80" cm="1">
        <f t="array" ref="W387">IF($L$2&lt;&gt;1,IRR(IF(ROW($Q$36:Q387)=ROW(Q387),Q387+L387-K387,$Q$36:Q387),W386/12)*12,0)</f>
        <v>5.2253399884325979E-2</v>
      </c>
      <c r="X387" s="83">
        <f>(1+W387/12)^(B387)-1</f>
        <v>3.5955749755546638</v>
      </c>
    </row>
    <row r="388" spans="2:24" x14ac:dyDescent="0.25">
      <c r="B388" s="33">
        <v>352</v>
      </c>
      <c r="C388" s="81">
        <f t="shared" si="57"/>
        <v>29.333333333333332</v>
      </c>
      <c r="D388" s="105">
        <f t="shared" si="58"/>
        <v>3.9789301544717048E-3</v>
      </c>
      <c r="E388" s="106">
        <f t="shared" si="62"/>
        <v>0.24713899399838002</v>
      </c>
      <c r="F388" s="60">
        <f>rate</f>
        <v>3.2737397821989145E-3</v>
      </c>
      <c r="G388" s="31">
        <f>IF(AND(B387&gt;=gracia,12*años+gracia-B387&gt;0,$L$2&lt;&gt;1),PMT(F387,12*años-B387+gracia,-K387),0)</f>
        <v>19.168720484415218</v>
      </c>
      <c r="H388" s="31">
        <f>IF(AND(12*años+gracia-B387&gt;0,$L$2&lt;&gt;1),K387*F388,0)</f>
        <v>0.55564579175012219</v>
      </c>
      <c r="I388" s="31">
        <f>IF(AND(12*años+gracia-B387&gt;0,$L$2&lt;&gt;1),G388-H388,0)</f>
        <v>18.613074692665094</v>
      </c>
      <c r="J388" s="62"/>
      <c r="K388" s="61">
        <f t="shared" si="63"/>
        <v>151.11507376050992</v>
      </c>
      <c r="L388" s="61">
        <f>L387*(1+$J$17)^(1/12)</f>
        <v>10709.547098691233</v>
      </c>
      <c r="M388" s="31">
        <f t="shared" si="64"/>
        <v>12</v>
      </c>
      <c r="N388" s="31">
        <f t="shared" si="65"/>
        <v>0</v>
      </c>
      <c r="O388" s="31">
        <f t="shared" si="66"/>
        <v>-2.25</v>
      </c>
      <c r="P388" s="62"/>
      <c r="Q388" s="31">
        <f t="shared" si="59"/>
        <v>-9.4187204844152177</v>
      </c>
      <c r="R388" s="31">
        <f>SUM($Q$36:Q388)</f>
        <v>-3910.7896105141467</v>
      </c>
      <c r="S388" s="83">
        <f>IF($L$2&lt;&gt;1,-(R388-$R$36)/B388*12/$Q$36,0)</f>
        <v>-0.18982977126802533</v>
      </c>
      <c r="T388" s="31">
        <f>SUMPRODUCT($Q$36:Q388,$E$36:E388)/E388-R388</f>
        <v>-5709.4412127439937</v>
      </c>
      <c r="U388" s="31">
        <f t="shared" si="60"/>
        <v>6647.6424144165767</v>
      </c>
      <c r="V388" s="31">
        <f t="shared" si="61"/>
        <v>7243.0424144165763</v>
      </c>
      <c r="W388" s="80" cm="1">
        <f t="array" ref="W388">IF($L$2&lt;&gt;1,IRR(IF(ROW($Q$36:Q388)=ROW(Q388),Q388+L388-K388,$Q$36:Q388),W387/12)*12,0)</f>
        <v>5.2207292112200321E-2</v>
      </c>
      <c r="X388" s="83">
        <f>(1+W388/12)^(B388)-1</f>
        <v>3.6093748576333819</v>
      </c>
    </row>
    <row r="389" spans="2:24" x14ac:dyDescent="0.25">
      <c r="B389" s="33">
        <v>353</v>
      </c>
      <c r="C389" s="81">
        <f t="shared" si="57"/>
        <v>29.416666666666668</v>
      </c>
      <c r="D389" s="105">
        <f t="shared" si="58"/>
        <v>3.9789301544717048E-3</v>
      </c>
      <c r="E389" s="106">
        <f t="shared" si="62"/>
        <v>0.24615954237242343</v>
      </c>
      <c r="F389" s="60">
        <f>rate</f>
        <v>3.2737397821989145E-3</v>
      </c>
      <c r="G389" s="31">
        <f>IF(AND(B388&gt;=gracia,12*años+gracia-B388&gt;0,$L$2&lt;&gt;1),PMT(F388,12*años-B388+gracia,-K388),0)</f>
        <v>19.168720484415214</v>
      </c>
      <c r="H389" s="31">
        <f>IF(AND(12*años+gracia-B388&gt;0,$L$2&lt;&gt;1),K388*F389,0)</f>
        <v>0.49471142865970463</v>
      </c>
      <c r="I389" s="31">
        <f>IF(AND(12*años+gracia-B388&gt;0,$L$2&lt;&gt;1),G389-H389,0)</f>
        <v>18.674009055755509</v>
      </c>
      <c r="J389" s="62"/>
      <c r="K389" s="61">
        <f t="shared" si="63"/>
        <v>132.44106470475441</v>
      </c>
      <c r="L389" s="61">
        <f>L388*(1+$J$17)^(1/12)</f>
        <v>10735.959730975797</v>
      </c>
      <c r="M389" s="31">
        <f t="shared" si="64"/>
        <v>12</v>
      </c>
      <c r="N389" s="31">
        <f t="shared" si="65"/>
        <v>0</v>
      </c>
      <c r="O389" s="31">
        <f t="shared" si="66"/>
        <v>-2.25</v>
      </c>
      <c r="P389" s="62"/>
      <c r="Q389" s="31">
        <f t="shared" si="59"/>
        <v>-9.4187204844152141</v>
      </c>
      <c r="R389" s="31">
        <f>SUM($Q$36:Q389)</f>
        <v>-3920.2083309985619</v>
      </c>
      <c r="S389" s="83">
        <f>IF($L$2&lt;&gt;1,-(R389-$R$36)/B389*12/$Q$36,0)</f>
        <v>-0.18982977126802533</v>
      </c>
      <c r="T389" s="31">
        <f>SUMPRODUCT($Q$36:Q389,$E$36:E389)/E389-R389</f>
        <v>-5747.719439259633</v>
      </c>
      <c r="U389" s="31">
        <f t="shared" si="60"/>
        <v>6683.3103352724811</v>
      </c>
      <c r="V389" s="31">
        <f t="shared" si="61"/>
        <v>7278.7103352724807</v>
      </c>
      <c r="W389" s="80" cm="1">
        <f t="array" ref="W389">IF($L$2&lt;&gt;1,IRR(IF(ROW($Q$36:Q389)=ROW(Q389),Q389+L389-K389,$Q$36:Q389),W388/12)*12,0)</f>
        <v>5.21613823782765E-2</v>
      </c>
      <c r="X389" s="83">
        <f>(1+W389/12)^(B389)-1</f>
        <v>3.6232075978083884</v>
      </c>
    </row>
    <row r="390" spans="2:24" x14ac:dyDescent="0.25">
      <c r="B390" s="33">
        <v>354</v>
      </c>
      <c r="C390" s="81">
        <f t="shared" si="57"/>
        <v>29.5</v>
      </c>
      <c r="D390" s="105">
        <f t="shared" si="58"/>
        <v>3.9789301544717048E-3</v>
      </c>
      <c r="E390" s="106">
        <f t="shared" si="62"/>
        <v>0.24518397247096554</v>
      </c>
      <c r="F390" s="60">
        <f>rate</f>
        <v>3.2737397821989145E-3</v>
      </c>
      <c r="G390" s="31">
        <f>IF(AND(B389&gt;=gracia,12*años+gracia-B389&gt;0,$L$2&lt;&gt;1),PMT(F389,12*años-B389+gracia,-K389),0)</f>
        <v>19.168720484415214</v>
      </c>
      <c r="H390" s="31">
        <f>IF(AND(12*años+gracia-B389&gt;0,$L$2&lt;&gt;1),K389*F390,0)</f>
        <v>0.43357758232073507</v>
      </c>
      <c r="I390" s="31">
        <f>IF(AND(12*años+gracia-B389&gt;0,$L$2&lt;&gt;1),G390-H390,0)</f>
        <v>18.735142902094481</v>
      </c>
      <c r="J390" s="62"/>
      <c r="K390" s="61">
        <f t="shared" si="63"/>
        <v>113.70592180265993</v>
      </c>
      <c r="L390" s="61">
        <f>L389*(1+$J$17)^(1/12)</f>
        <v>10762.437503936973</v>
      </c>
      <c r="M390" s="31">
        <f t="shared" si="64"/>
        <v>12</v>
      </c>
      <c r="N390" s="31">
        <f t="shared" si="65"/>
        <v>0</v>
      </c>
      <c r="O390" s="31">
        <f t="shared" si="66"/>
        <v>-2.25</v>
      </c>
      <c r="P390" s="62"/>
      <c r="Q390" s="31">
        <f t="shared" si="59"/>
        <v>-9.4187204844152141</v>
      </c>
      <c r="R390" s="31">
        <f>SUM($Q$36:Q390)</f>
        <v>-3929.6270514829771</v>
      </c>
      <c r="S390" s="83">
        <f>IF($L$2&lt;&gt;1,-(R390-$R$36)/B390*12/$Q$36,0)</f>
        <v>-0.18982977126802533</v>
      </c>
      <c r="T390" s="31">
        <f>SUMPRODUCT($Q$36:Q390,$E$36:E390)/E390-R390</f>
        <v>-5786.1874485959688</v>
      </c>
      <c r="U390" s="31">
        <f t="shared" si="60"/>
        <v>6719.104530651337</v>
      </c>
      <c r="V390" s="31">
        <f t="shared" si="61"/>
        <v>7314.5045306513366</v>
      </c>
      <c r="W390" s="80" cm="1">
        <f t="array" ref="W390">IF($L$2&lt;&gt;1,IRR(IF(ROW($Q$36:Q390)=ROW(Q390),Q390+L390-K390,$Q$36:Q390),W389/12)*12,0)</f>
        <v>5.2115669510929052E-2</v>
      </c>
      <c r="X390" s="83">
        <f>(1+W390/12)^(B390)-1</f>
        <v>3.6370733123721797</v>
      </c>
    </row>
    <row r="391" spans="2:24" x14ac:dyDescent="0.25">
      <c r="B391" s="33">
        <v>355</v>
      </c>
      <c r="C391" s="81">
        <f t="shared" si="57"/>
        <v>29.583333333333332</v>
      </c>
      <c r="D391" s="105">
        <f t="shared" si="58"/>
        <v>3.9789301544717048E-3</v>
      </c>
      <c r="E391" s="106">
        <f t="shared" si="62"/>
        <v>0.24421226891010717</v>
      </c>
      <c r="F391" s="60">
        <f>rate</f>
        <v>3.2737397821989145E-3</v>
      </c>
      <c r="G391" s="31">
        <f>IF(AND(B390&gt;=gracia,12*años+gracia-B390&gt;0,$L$2&lt;&gt;1),PMT(F390,12*años-B390+gracia,-K390),0)</f>
        <v>19.168720484415218</v>
      </c>
      <c r="H391" s="31">
        <f>IF(AND(12*años+gracia-B390&gt;0,$L$2&lt;&gt;1),K390*F391,0)</f>
        <v>0.37224359967696674</v>
      </c>
      <c r="I391" s="31">
        <f>IF(AND(12*años+gracia-B390&gt;0,$L$2&lt;&gt;1),G391-H391,0)</f>
        <v>18.796476884738251</v>
      </c>
      <c r="J391" s="62"/>
      <c r="K391" s="61">
        <f t="shared" si="63"/>
        <v>94.909444917921675</v>
      </c>
      <c r="L391" s="61">
        <f>L390*(1+$J$17)^(1/12)</f>
        <v>10788.980578229241</v>
      </c>
      <c r="M391" s="31">
        <f t="shared" si="64"/>
        <v>12</v>
      </c>
      <c r="N391" s="31">
        <f t="shared" si="65"/>
        <v>0</v>
      </c>
      <c r="O391" s="31">
        <f t="shared" si="66"/>
        <v>-2.25</v>
      </c>
      <c r="P391" s="62"/>
      <c r="Q391" s="31">
        <f t="shared" si="59"/>
        <v>-9.4187204844152177</v>
      </c>
      <c r="R391" s="31">
        <f>SUM($Q$36:Q391)</f>
        <v>-3939.0457719673923</v>
      </c>
      <c r="S391" s="83">
        <f>IF($L$2&lt;&gt;1,-(R391-$R$36)/B391*12/$Q$36,0)</f>
        <v>-0.18982977126802533</v>
      </c>
      <c r="T391" s="31">
        <f>SUMPRODUCT($Q$36:Q391,$E$36:E391)/E391-R391</f>
        <v>-5824.8459958855856</v>
      </c>
      <c r="U391" s="31">
        <f t="shared" si="60"/>
        <v>6755.0253613439272</v>
      </c>
      <c r="V391" s="31">
        <f t="shared" si="61"/>
        <v>7350.4253613439269</v>
      </c>
      <c r="W391" s="80" cm="1">
        <f t="array" ref="W391">IF($L$2&lt;&gt;1,IRR(IF(ROW($Q$36:Q391)=ROW(Q391),Q391+L391-K391,$Q$36:Q391),W390/12)*12,0)</f>
        <v>5.2070152347133636E-2</v>
      </c>
      <c r="X391" s="83">
        <f>(1+W391/12)^(B391)-1</f>
        <v>3.6509721177745558</v>
      </c>
    </row>
    <row r="392" spans="2:24" x14ac:dyDescent="0.25">
      <c r="B392" s="33">
        <v>356</v>
      </c>
      <c r="C392" s="81">
        <f t="shared" si="57"/>
        <v>29.666666666666668</v>
      </c>
      <c r="D392" s="105">
        <f t="shared" si="58"/>
        <v>3.9789301544717048E-3</v>
      </c>
      <c r="E392" s="106">
        <f t="shared" si="62"/>
        <v>0.24324441636691796</v>
      </c>
      <c r="F392" s="60">
        <f>rate</f>
        <v>3.2737397821989145E-3</v>
      </c>
      <c r="G392" s="31">
        <f>IF(AND(B391&gt;=gracia,12*años+gracia-B391&gt;0,$L$2&lt;&gt;1),PMT(F391,12*años-B391+gracia,-K391),0)</f>
        <v>19.168720484415211</v>
      </c>
      <c r="H392" s="31">
        <f>IF(AND(12*años+gracia-B391&gt;0,$L$2&lt;&gt;1),K391*F392,0)</f>
        <v>0.3107088255342168</v>
      </c>
      <c r="I392" s="31">
        <f>IF(AND(12*años+gracia-B391&gt;0,$L$2&lt;&gt;1),G392-H392,0)</f>
        <v>18.858011658880994</v>
      </c>
      <c r="J392" s="62"/>
      <c r="K392" s="61">
        <f t="shared" si="63"/>
        <v>76.051433259040678</v>
      </c>
      <c r="L392" s="61">
        <f>L391*(1+$J$17)^(1/12)</f>
        <v>10815.5891149033</v>
      </c>
      <c r="M392" s="31">
        <f t="shared" si="64"/>
        <v>12</v>
      </c>
      <c r="N392" s="31">
        <f t="shared" si="65"/>
        <v>0</v>
      </c>
      <c r="O392" s="31">
        <f t="shared" si="66"/>
        <v>-2.25</v>
      </c>
      <c r="P392" s="62"/>
      <c r="Q392" s="31">
        <f t="shared" si="59"/>
        <v>-9.4187204844152106</v>
      </c>
      <c r="R392" s="31">
        <f>SUM($Q$36:Q392)</f>
        <v>-3948.4644924518075</v>
      </c>
      <c r="S392" s="83">
        <f>IF($L$2&lt;&gt;1,-(R392-$R$36)/B392*12/$Q$36,0)</f>
        <v>-0.18982977126802533</v>
      </c>
      <c r="T392" s="31">
        <f>SUMPRODUCT($Q$36:Q392,$E$36:E392)/E392-R392</f>
        <v>-5863.6958392656961</v>
      </c>
      <c r="U392" s="31">
        <f t="shared" si="60"/>
        <v>6791.0731891924515</v>
      </c>
      <c r="V392" s="31">
        <f t="shared" si="61"/>
        <v>7386.4731891924512</v>
      </c>
      <c r="W392" s="80" cm="1">
        <f t="array" ref="W392">IF($L$2&lt;&gt;1,IRR(IF(ROW($Q$36:Q392)=ROW(Q392),Q392+L392-K392,$Q$36:Q392),W391/12)*12,0)</f>
        <v>5.2024829732395084E-2</v>
      </c>
      <c r="X392" s="83">
        <f>(1+W392/12)^(B392)-1</f>
        <v>3.6649041306225074</v>
      </c>
    </row>
    <row r="393" spans="2:24" x14ac:dyDescent="0.25">
      <c r="B393" s="33">
        <v>357</v>
      </c>
      <c r="C393" s="81">
        <f t="shared" si="57"/>
        <v>29.75</v>
      </c>
      <c r="D393" s="105">
        <f t="shared" si="58"/>
        <v>3.9789301544717048E-3</v>
      </c>
      <c r="E393" s="106">
        <f t="shared" si="62"/>
        <v>0.24228039957919484</v>
      </c>
      <c r="F393" s="60">
        <f>rate</f>
        <v>3.2737397821989145E-3</v>
      </c>
      <c r="G393" s="31">
        <f>IF(AND(B392&gt;=gracia,12*años+gracia-B392&gt;0,$L$2&lt;&gt;1),PMT(F392,12*años-B392+gracia,-K392),0)</f>
        <v>19.168720484415211</v>
      </c>
      <c r="H393" s="31">
        <f>IF(AND(12*años+gracia-B392&gt;0,$L$2&lt;&gt;1),K392*F393,0)</f>
        <v>0.24897260255336712</v>
      </c>
      <c r="I393" s="31">
        <f>IF(AND(12*años+gracia-B392&gt;0,$L$2&lt;&gt;1),G393-H393,0)</f>
        <v>18.919747881861845</v>
      </c>
      <c r="J393" s="62"/>
      <c r="K393" s="61">
        <f t="shared" si="63"/>
        <v>57.131685377178833</v>
      </c>
      <c r="L393" s="61">
        <f>L392*(1+$J$17)^(1/12)</f>
        <v>10842.263275407042</v>
      </c>
      <c r="M393" s="31">
        <f t="shared" si="64"/>
        <v>12</v>
      </c>
      <c r="N393" s="31">
        <f t="shared" si="65"/>
        <v>0</v>
      </c>
      <c r="O393" s="31">
        <f t="shared" si="66"/>
        <v>-2.25</v>
      </c>
      <c r="P393" s="62"/>
      <c r="Q393" s="31">
        <f t="shared" si="59"/>
        <v>-9.4187204844152106</v>
      </c>
      <c r="R393" s="31">
        <f>SUM($Q$36:Q393)</f>
        <v>-3957.8832129362227</v>
      </c>
      <c r="S393" s="83">
        <f>IF($L$2&lt;&gt;1,-(R393-$R$36)/B393*12/$Q$36,0)</f>
        <v>-0.18982977126802533</v>
      </c>
      <c r="T393" s="31">
        <f>SUMPRODUCT($Q$36:Q393,$E$36:E393)/E393-R393</f>
        <v>-5902.737739890078</v>
      </c>
      <c r="U393" s="31">
        <f t="shared" si="60"/>
        <v>6827.2483770936406</v>
      </c>
      <c r="V393" s="31">
        <f t="shared" si="61"/>
        <v>7422.6483770936402</v>
      </c>
      <c r="W393" s="80" cm="1">
        <f t="array" ref="W393">IF($L$2&lt;&gt;1,IRR(IF(ROW($Q$36:Q393)=ROW(Q393),Q393+L393-K393,$Q$36:Q393),W392/12)*12,0)</f>
        <v>5.197970052070211E-2</v>
      </c>
      <c r="X393" s="83">
        <f>(1+W393/12)^(B393)-1</f>
        <v>3.6788694676866758</v>
      </c>
    </row>
    <row r="394" spans="2:24" x14ac:dyDescent="0.25">
      <c r="B394" s="33">
        <v>358</v>
      </c>
      <c r="C394" s="81">
        <f t="shared" si="57"/>
        <v>29.833333333333332</v>
      </c>
      <c r="D394" s="105">
        <f t="shared" si="58"/>
        <v>3.9789301544717048E-3</v>
      </c>
      <c r="E394" s="106">
        <f t="shared" si="62"/>
        <v>0.24132020334522131</v>
      </c>
      <c r="F394" s="60">
        <f>rate</f>
        <v>3.2737397821989145E-3</v>
      </c>
      <c r="G394" s="31">
        <f>IF(AND(B393&gt;=gracia,12*años+gracia-B393&gt;0,$L$2&lt;&gt;1),PMT(F393,12*años-B393+gracia,-K393),0)</f>
        <v>19.168720484415214</v>
      </c>
      <c r="H394" s="31">
        <f>IF(AND(12*años+gracia-B393&gt;0,$L$2&lt;&gt;1),K393*F394,0)</f>
        <v>0.18703427124334235</v>
      </c>
      <c r="I394" s="31">
        <f>IF(AND(12*años+gracia-B393&gt;0,$L$2&lt;&gt;1),G394-H394,0)</f>
        <v>18.981686213171873</v>
      </c>
      <c r="J394" s="62"/>
      <c r="K394" s="61">
        <f t="shared" si="63"/>
        <v>38.149999164006957</v>
      </c>
      <c r="L394" s="61">
        <f>L393*(1+$J$17)^(1/12)</f>
        <v>10869.003221586536</v>
      </c>
      <c r="M394" s="31">
        <f t="shared" si="64"/>
        <v>12</v>
      </c>
      <c r="N394" s="31">
        <f t="shared" si="65"/>
        <v>0</v>
      </c>
      <c r="O394" s="31">
        <f t="shared" si="66"/>
        <v>-2.25</v>
      </c>
      <c r="P394" s="62"/>
      <c r="Q394" s="31">
        <f t="shared" si="59"/>
        <v>-9.4187204844152141</v>
      </c>
      <c r="R394" s="31">
        <f>SUM($Q$36:Q394)</f>
        <v>-3967.3019334206379</v>
      </c>
      <c r="S394" s="83">
        <f>IF($L$2&lt;&gt;1,-(R394-$R$36)/B394*12/$Q$36,0)</f>
        <v>-0.18982977126802533</v>
      </c>
      <c r="T394" s="31">
        <f>SUMPRODUCT($Q$36:Q394,$E$36:E394)/E394-R394</f>
        <v>-5941.9724619410936</v>
      </c>
      <c r="U394" s="31">
        <f t="shared" si="60"/>
        <v>6863.5512890018908</v>
      </c>
      <c r="V394" s="31">
        <f t="shared" si="61"/>
        <v>7458.9512890018905</v>
      </c>
      <c r="W394" s="80" cm="1">
        <f t="array" ref="W394">IF($L$2&lt;&gt;1,IRR(IF(ROW($Q$36:Q394)=ROW(Q394),Q394+L394-K394,$Q$36:Q394),W393/12)*12,0)</f>
        <v>5.1934763574426057E-2</v>
      </c>
      <c r="X394" s="83">
        <f>(1+W394/12)^(B394)-1</f>
        <v>3.6928682458982296</v>
      </c>
    </row>
    <row r="395" spans="2:24" x14ac:dyDescent="0.25">
      <c r="B395" s="33">
        <v>359</v>
      </c>
      <c r="C395" s="81">
        <f t="shared" si="57"/>
        <v>29.916666666666668</v>
      </c>
      <c r="D395" s="105">
        <f t="shared" si="58"/>
        <v>3.9789301544717048E-3</v>
      </c>
      <c r="E395" s="106">
        <f t="shared" si="62"/>
        <v>0.24036381252352765</v>
      </c>
      <c r="F395" s="60">
        <f>rate</f>
        <v>3.2737397821989145E-3</v>
      </c>
      <c r="G395" s="31">
        <f>IF(AND(B394&gt;=gracia,12*años+gracia-B394&gt;0,$L$2&lt;&gt;1),PMT(F394,12*años-B394+gracia,-K394),0)</f>
        <v>19.168720484415207</v>
      </c>
      <c r="H395" s="31">
        <f>IF(AND(12*años+gracia-B394&gt;0,$L$2&lt;&gt;1),K394*F395,0)</f>
        <v>0.12489316995406491</v>
      </c>
      <c r="I395" s="31">
        <f>IF(AND(12*años+gracia-B394&gt;0,$L$2&lt;&gt;1),G395-H395,0)</f>
        <v>19.043827314461144</v>
      </c>
      <c r="J395" s="62"/>
      <c r="K395" s="61">
        <f t="shared" si="63"/>
        <v>19.106171849545813</v>
      </c>
      <c r="L395" s="61">
        <f>L394*(1+$J$17)^(1/12)</f>
        <v>10895.809115687007</v>
      </c>
      <c r="M395" s="31">
        <f t="shared" si="64"/>
        <v>12</v>
      </c>
      <c r="N395" s="31">
        <f t="shared" si="65"/>
        <v>0</v>
      </c>
      <c r="O395" s="31">
        <f t="shared" si="66"/>
        <v>-2.25</v>
      </c>
      <c r="P395" s="62"/>
      <c r="Q395" s="31">
        <f t="shared" si="59"/>
        <v>-9.418720484415207</v>
      </c>
      <c r="R395" s="31">
        <f>SUM($Q$36:Q395)</f>
        <v>-3976.720653905053</v>
      </c>
      <c r="S395" s="83">
        <f>IF($L$2&lt;&gt;1,-(R395-$R$36)/B395*12/$Q$36,0)</f>
        <v>-0.18982977126802533</v>
      </c>
      <c r="T395" s="31">
        <f>SUMPRODUCT($Q$36:Q395,$E$36:E395)/E395-R395</f>
        <v>-5981.4007726417331</v>
      </c>
      <c r="U395" s="31">
        <f t="shared" si="60"/>
        <v>6899.9822899324081</v>
      </c>
      <c r="V395" s="31">
        <f t="shared" si="61"/>
        <v>7495.3822899324077</v>
      </c>
      <c r="W395" s="80" cm="1">
        <f t="array" ref="W395">IF($L$2&lt;&gt;1,IRR(IF(ROW($Q$36:Q395)=ROW(Q395),Q395+L395-K395,$Q$36:Q395),W394/12)*12,0)</f>
        <v>5.1890017764280927E-2</v>
      </c>
      <c r="X395" s="83">
        <f>(1+W395/12)^(B395)-1</f>
        <v>3.7069005823555132</v>
      </c>
    </row>
    <row r="396" spans="2:24" x14ac:dyDescent="0.25">
      <c r="B396" s="33">
        <v>360</v>
      </c>
      <c r="C396" s="81">
        <f t="shared" si="57"/>
        <v>30</v>
      </c>
      <c r="D396" s="105">
        <f t="shared" si="58"/>
        <v>3.9789301544717048E-3</v>
      </c>
      <c r="E396" s="106">
        <f t="shared" si="62"/>
        <v>0.23941121203265231</v>
      </c>
      <c r="F396" s="60">
        <f>rate</f>
        <v>3.2737397821989145E-3</v>
      </c>
      <c r="G396" s="31">
        <f>IF(AND(B395&gt;=gracia,12*años+gracia-B395&gt;0,$L$2&lt;&gt;1),PMT(F395,12*años-B395+gracia,-K395),0)</f>
        <v>19.168720484415203</v>
      </c>
      <c r="H396" s="31">
        <f>IF(AND(12*años+gracia-B395&gt;0,$L$2&lt;&gt;1),K395*F396,0)</f>
        <v>6.2548634869387137E-2</v>
      </c>
      <c r="I396" s="31">
        <f>IF(AND(12*años+gracia-B395&gt;0,$L$2&lt;&gt;1),G396-H396,0)</f>
        <v>19.106171849545817</v>
      </c>
      <c r="J396" s="62"/>
      <c r="K396" s="61">
        <f t="shared" si="63"/>
        <v>-3.5527136788005009E-15</v>
      </c>
      <c r="L396" s="61">
        <f>L395*(1+$J$17)^(1/12)</f>
        <v>10922.681120353816</v>
      </c>
      <c r="M396" s="31">
        <f t="shared" si="64"/>
        <v>12</v>
      </c>
      <c r="N396" s="31">
        <f t="shared" si="65"/>
        <v>0</v>
      </c>
      <c r="O396" s="31">
        <f t="shared" si="66"/>
        <v>-2.25</v>
      </c>
      <c r="P396" s="62"/>
      <c r="Q396" s="31">
        <f t="shared" si="59"/>
        <v>-9.4187204844152035</v>
      </c>
      <c r="R396" s="31">
        <f>SUM($Q$36:Q396)</f>
        <v>-3986.1393743894682</v>
      </c>
      <c r="S396" s="83">
        <f>IF($L$2&lt;&gt;1,-(R396-$R$36)/B396*12/$Q$36,0)</f>
        <v>-0.18982977126802533</v>
      </c>
      <c r="T396" s="31">
        <f>SUMPRODUCT($Q$36:Q396,$E$36:E396)/E396-R396</f>
        <v>-6021.0234422677113</v>
      </c>
      <c r="U396" s="31">
        <f t="shared" si="60"/>
        <v>6936.5417459643486</v>
      </c>
      <c r="V396" s="31">
        <f t="shared" si="61"/>
        <v>7531.9417459643482</v>
      </c>
      <c r="W396" s="80" cm="1">
        <f t="array" ref="W396">IF($L$2&lt;&gt;1,IRR(IF(ROW($Q$36:Q396)=ROW(Q396),Q396+L396-K396,$Q$36:Q396),W395/12)*12,0)</f>
        <v>5.1845461969243445E-2</v>
      </c>
      <c r="X396" s="83">
        <f>(1+W396/12)^(B396)-1</f>
        <v>3.720966594323361</v>
      </c>
    </row>
    <row r="397" spans="2:24" x14ac:dyDescent="0.25">
      <c r="B397" s="33">
        <v>361</v>
      </c>
      <c r="C397" s="81">
        <f t="shared" si="57"/>
        <v>30.083333333333332</v>
      </c>
      <c r="D397" s="105">
        <f t="shared" si="58"/>
        <v>3.9789301544717048E-3</v>
      </c>
      <c r="E397" s="106">
        <f t="shared" si="62"/>
        <v>0.23846238685090396</v>
      </c>
      <c r="F397" s="60">
        <f>rate</f>
        <v>3.2737397821989145E-3</v>
      </c>
      <c r="G397" s="31">
        <f>IF(AND(B396&gt;=gracia,12*años+gracia-B396&gt;0,$L$2&lt;&gt;1),PMT(F396,12*años-B396+gracia,-K396),0)</f>
        <v>0</v>
      </c>
      <c r="H397" s="31">
        <f>IF(AND(12*años+gracia-B396&gt;0,$L$2&lt;&gt;1),K396*F397,0)</f>
        <v>0</v>
      </c>
      <c r="I397" s="31">
        <f>IF(AND(12*años+gracia-B396&gt;0,$L$2&lt;&gt;1),G397-H397,0)</f>
        <v>0</v>
      </c>
      <c r="J397" s="62"/>
      <c r="K397" s="61">
        <f t="shared" si="63"/>
        <v>-3.5527136788005009E-15</v>
      </c>
      <c r="L397" s="61">
        <f>L396*(1+$J$17)^(1/12)</f>
        <v>10949.619398633457</v>
      </c>
      <c r="M397" s="31">
        <f t="shared" si="64"/>
        <v>12</v>
      </c>
      <c r="N397" s="31">
        <f t="shared" si="65"/>
        <v>0</v>
      </c>
      <c r="O397" s="31">
        <f t="shared" si="66"/>
        <v>-2.25</v>
      </c>
      <c r="P397" s="62"/>
      <c r="Q397" s="31">
        <f t="shared" si="59"/>
        <v>9.75</v>
      </c>
      <c r="R397" s="31">
        <f>SUM($Q$36:Q397)</f>
        <v>-3976.3893743894682</v>
      </c>
      <c r="S397" s="83">
        <f>IF($L$2&lt;&gt;1,-(R397-$R$36)/B397*12/$Q$36,0)</f>
        <v>-0.18875958755199662</v>
      </c>
      <c r="T397" s="31">
        <f>SUMPRODUCT($Q$36:Q397,$E$36:E397)/E397-R397</f>
        <v>-6060.8412441596156</v>
      </c>
      <c r="U397" s="31">
        <f t="shared" si="60"/>
        <v>6973.2300242439887</v>
      </c>
      <c r="V397" s="31">
        <f t="shared" si="61"/>
        <v>7568.6300242439884</v>
      </c>
      <c r="W397" s="80" cm="1">
        <f t="array" ref="W397">IF($L$2&lt;&gt;1,IRR(IF(ROW($Q$36:Q397)=ROW(Q397),Q397+L397-K397,$Q$36:Q397),W396/12)*12,0)</f>
        <v>5.1801095076486448E-2</v>
      </c>
      <c r="X397" s="83">
        <f>(1+W397/12)^(B397)-1</f>
        <v>3.735066399236441</v>
      </c>
    </row>
    <row r="398" spans="2:24" x14ac:dyDescent="0.25">
      <c r="B398" s="33">
        <v>362</v>
      </c>
      <c r="C398" s="81">
        <f t="shared" si="57"/>
        <v>30.166666666666668</v>
      </c>
      <c r="D398" s="105">
        <f t="shared" si="58"/>
        <v>3.9789301544717048E-3</v>
      </c>
      <c r="E398" s="106">
        <f t="shared" si="62"/>
        <v>0.23751732201612463</v>
      </c>
      <c r="F398" s="60">
        <f>rate</f>
        <v>3.2737397821989145E-3</v>
      </c>
      <c r="G398" s="31">
        <f>IF(AND(B397&gt;=gracia,12*años+gracia-B397&gt;0,$L$2&lt;&gt;1),PMT(F397,12*años-B397+gracia,-K397),0)</f>
        <v>0</v>
      </c>
      <c r="H398" s="31">
        <f>IF(AND(12*años+gracia-B397&gt;0,$L$2&lt;&gt;1),K397*F398,0)</f>
        <v>0</v>
      </c>
      <c r="I398" s="31">
        <f>IF(AND(12*años+gracia-B397&gt;0,$L$2&lt;&gt;1),G398-H398,0)</f>
        <v>0</v>
      </c>
      <c r="J398" s="62"/>
      <c r="K398" s="61">
        <f t="shared" si="63"/>
        <v>-3.5527136788005009E-15</v>
      </c>
      <c r="L398" s="61">
        <f>L397*(1+$J$17)^(1/12)</f>
        <v>10976.624113974536</v>
      </c>
      <c r="M398" s="31">
        <f t="shared" si="64"/>
        <v>12</v>
      </c>
      <c r="N398" s="31">
        <f t="shared" si="65"/>
        <v>0</v>
      </c>
      <c r="O398" s="31">
        <f t="shared" si="66"/>
        <v>-2.25</v>
      </c>
      <c r="P398" s="62"/>
      <c r="Q398" s="31">
        <f t="shared" si="59"/>
        <v>9.75</v>
      </c>
      <c r="R398" s="31">
        <f>SUM($Q$36:Q398)</f>
        <v>-3966.6393743894682</v>
      </c>
      <c r="S398" s="83">
        <f>IF($L$2&lt;&gt;1,-(R398-$R$36)/B398*12/$Q$36,0)</f>
        <v>-0.18769531645318349</v>
      </c>
      <c r="T398" s="31">
        <f>SUMPRODUCT($Q$36:Q398,$E$36:E398)/E398-R398</f>
        <v>-6100.7786837351487</v>
      </c>
      <c r="U398" s="31">
        <f t="shared" si="60"/>
        <v>7009.9847395850684</v>
      </c>
      <c r="V398" s="31">
        <f t="shared" si="61"/>
        <v>7605.384739585068</v>
      </c>
      <c r="W398" s="80" cm="1">
        <f t="array" ref="W398">IF($L$2&lt;&gt;1,IRR(IF(ROW($Q$36:Q398)=ROW(Q398),Q398+L398-K398,$Q$36:Q398),W397/12)*12,0)</f>
        <v>5.1756999597780684E-2</v>
      </c>
      <c r="X398" s="83">
        <f>(1+W398/12)^(B398)-1</f>
        <v>3.7492120427939621</v>
      </c>
    </row>
    <row r="399" spans="2:24" x14ac:dyDescent="0.25">
      <c r="B399" s="33">
        <v>363</v>
      </c>
      <c r="C399" s="81">
        <f t="shared" si="57"/>
        <v>30.25</v>
      </c>
      <c r="D399" s="105">
        <f t="shared" si="58"/>
        <v>3.9789301544717048E-3</v>
      </c>
      <c r="E399" s="106">
        <f t="shared" si="62"/>
        <v>0.23657600262545384</v>
      </c>
      <c r="F399" s="60">
        <f>rate</f>
        <v>3.2737397821989145E-3</v>
      </c>
      <c r="G399" s="31">
        <f>IF(AND(B398&gt;=gracia,12*años+gracia-B398&gt;0,$L$2&lt;&gt;1),PMT(F398,12*años-B398+gracia,-K398),0)</f>
        <v>0</v>
      </c>
      <c r="H399" s="31">
        <f>IF(AND(12*años+gracia-B398&gt;0,$L$2&lt;&gt;1),K398*F399,0)</f>
        <v>0</v>
      </c>
      <c r="I399" s="31">
        <f>IF(AND(12*años+gracia-B398&gt;0,$L$2&lt;&gt;1),G399-H399,0)</f>
        <v>0</v>
      </c>
      <c r="J399" s="62"/>
      <c r="K399" s="61">
        <f t="shared" si="63"/>
        <v>-3.5527136788005009E-15</v>
      </c>
      <c r="L399" s="61">
        <f>L398*(1+$J$17)^(1/12)</f>
        <v>11003.69543022877</v>
      </c>
      <c r="M399" s="31">
        <f t="shared" si="64"/>
        <v>12</v>
      </c>
      <c r="N399" s="31">
        <f t="shared" si="65"/>
        <v>0</v>
      </c>
      <c r="O399" s="31">
        <f t="shared" si="66"/>
        <v>-2.25</v>
      </c>
      <c r="P399" s="62"/>
      <c r="Q399" s="31">
        <f t="shared" si="59"/>
        <v>9.75</v>
      </c>
      <c r="R399" s="31">
        <f>SUM($Q$36:Q399)</f>
        <v>-3956.8893743894682</v>
      </c>
      <c r="S399" s="83">
        <f>IF($L$2&lt;&gt;1,-(R399-$R$36)/B399*12/$Q$36,0)</f>
        <v>-0.186636909106981</v>
      </c>
      <c r="T399" s="31">
        <f>SUMPRODUCT($Q$36:Q399,$E$36:E399)/E399-R399</f>
        <v>-6140.836237024294</v>
      </c>
      <c r="U399" s="31">
        <f t="shared" si="60"/>
        <v>7046.8060558393026</v>
      </c>
      <c r="V399" s="31">
        <f t="shared" si="61"/>
        <v>7642.2060558393023</v>
      </c>
      <c r="W399" s="80" cm="1">
        <f t="array" ref="W399">IF($L$2&lt;&gt;1,IRR(IF(ROW($Q$36:Q399)=ROW(Q399),Q399+L399-K399,$Q$36:Q399),W398/12)*12,0)</f>
        <v>5.1713172430639887E-2</v>
      </c>
      <c r="X399" s="83">
        <f>(1+W399/12)^(B399)-1</f>
        <v>3.7634035611057444</v>
      </c>
    </row>
    <row r="400" spans="2:24" x14ac:dyDescent="0.25">
      <c r="B400" s="33">
        <v>364</v>
      </c>
      <c r="C400" s="81">
        <f t="shared" si="57"/>
        <v>30.333333333333332</v>
      </c>
      <c r="D400" s="105">
        <f t="shared" si="58"/>
        <v>3.9789301544717048E-3</v>
      </c>
      <c r="E400" s="106">
        <f t="shared" si="62"/>
        <v>0.23563841383509349</v>
      </c>
      <c r="F400" s="60">
        <f>rate</f>
        <v>3.2737397821989145E-3</v>
      </c>
      <c r="G400" s="31">
        <f>IF(AND(B399&gt;=gracia,12*años+gracia-B399&gt;0,$L$2&lt;&gt;1),PMT(F399,12*años-B399+gracia,-K399),0)</f>
        <v>0</v>
      </c>
      <c r="H400" s="31">
        <f>IF(AND(12*años+gracia-B399&gt;0,$L$2&lt;&gt;1),K399*F400,0)</f>
        <v>0</v>
      </c>
      <c r="I400" s="31">
        <f>IF(AND(12*años+gracia-B399&gt;0,$L$2&lt;&gt;1),G400-H400,0)</f>
        <v>0</v>
      </c>
      <c r="J400" s="62"/>
      <c r="K400" s="61">
        <f t="shared" si="63"/>
        <v>-3.5527136788005009E-15</v>
      </c>
      <c r="L400" s="61">
        <f>L399*(1+$J$17)^(1/12)</f>
        <v>11030.833511651979</v>
      </c>
      <c r="M400" s="31">
        <f t="shared" si="64"/>
        <v>12</v>
      </c>
      <c r="N400" s="31">
        <f t="shared" si="65"/>
        <v>0</v>
      </c>
      <c r="O400" s="31">
        <f t="shared" si="66"/>
        <v>-2.25</v>
      </c>
      <c r="P400" s="62"/>
      <c r="Q400" s="31">
        <f t="shared" si="59"/>
        <v>9.75</v>
      </c>
      <c r="R400" s="31">
        <f>SUM($Q$36:Q400)</f>
        <v>-3947.1393743894682</v>
      </c>
      <c r="S400" s="83">
        <f>IF($L$2&lt;&gt;1,-(R400-$R$36)/B400*12/$Q$36,0)</f>
        <v>-0.18558431718575755</v>
      </c>
      <c r="T400" s="31">
        <f>SUMPRODUCT($Q$36:Q400,$E$36:E400)/E400-R400</f>
        <v>-6181.0143819511304</v>
      </c>
      <c r="U400" s="31">
        <f t="shared" si="60"/>
        <v>7083.6941372625115</v>
      </c>
      <c r="V400" s="31">
        <f t="shared" si="61"/>
        <v>7679.0941372625111</v>
      </c>
      <c r="W400" s="80" cm="1">
        <f t="array" ref="W400">IF($L$2&lt;&gt;1,IRR(IF(ROW($Q$36:Q400)=ROW(Q400),Q400+L400-K400,$Q$36:Q400),W399/12)*12,0)</f>
        <v>5.1669610522103504E-2</v>
      </c>
      <c r="X400" s="83">
        <f>(1+W400/12)^(B400)-1</f>
        <v>3.7776409916161358</v>
      </c>
    </row>
    <row r="401" spans="2:24" x14ac:dyDescent="0.25">
      <c r="B401" s="33">
        <v>365</v>
      </c>
      <c r="C401" s="81">
        <f t="shared" si="57"/>
        <v>30.416666666666668</v>
      </c>
      <c r="D401" s="105">
        <f t="shared" si="58"/>
        <v>3.9789301544717048E-3</v>
      </c>
      <c r="E401" s="106">
        <f t="shared" si="62"/>
        <v>0.23470454086007389</v>
      </c>
      <c r="F401" s="60">
        <f>rate</f>
        <v>3.2737397821989145E-3</v>
      </c>
      <c r="G401" s="31">
        <f>IF(AND(B400&gt;=gracia,12*años+gracia-B400&gt;0,$L$2&lt;&gt;1),PMT(F400,12*años-B400+gracia,-K400),0)</f>
        <v>0</v>
      </c>
      <c r="H401" s="31">
        <f>IF(AND(12*años+gracia-B400&gt;0,$L$2&lt;&gt;1),K400*F401,0)</f>
        <v>0</v>
      </c>
      <c r="I401" s="31">
        <f>IF(AND(12*años+gracia-B400&gt;0,$L$2&lt;&gt;1),G401-H401,0)</f>
        <v>0</v>
      </c>
      <c r="J401" s="62"/>
      <c r="K401" s="61">
        <f t="shared" si="63"/>
        <v>-3.5527136788005009E-15</v>
      </c>
      <c r="L401" s="61">
        <f>L400*(1+$J$17)^(1/12)</f>
        <v>11058.038522905081</v>
      </c>
      <c r="M401" s="31">
        <f t="shared" si="64"/>
        <v>12</v>
      </c>
      <c r="N401" s="31">
        <f t="shared" si="65"/>
        <v>0</v>
      </c>
      <c r="O401" s="31">
        <f t="shared" si="66"/>
        <v>-2.25</v>
      </c>
      <c r="P401" s="62"/>
      <c r="Q401" s="31">
        <f t="shared" si="59"/>
        <v>9.75</v>
      </c>
      <c r="R401" s="31">
        <f>SUM($Q$36:Q401)</f>
        <v>-3937.3893743894682</v>
      </c>
      <c r="S401" s="83">
        <f>IF($L$2&lt;&gt;1,-(R401-$R$36)/B401*12/$Q$36,0)</f>
        <v>-0.18453749289149976</v>
      </c>
      <c r="T401" s="31">
        <f>SUMPRODUCT($Q$36:Q401,$E$36:E401)/E401-R401</f>
        <v>-6221.3135983413613</v>
      </c>
      <c r="U401" s="31">
        <f t="shared" si="60"/>
        <v>7120.649148515613</v>
      </c>
      <c r="V401" s="31">
        <f t="shared" si="61"/>
        <v>7716.0491485156126</v>
      </c>
      <c r="W401" s="80" cm="1">
        <f t="array" ref="W401">IF($L$2&lt;&gt;1,IRR(IF(ROW($Q$36:Q401)=ROW(Q401),Q401+L401-K401,$Q$36:Q401),W400/12)*12,0)</f>
        <v>5.1626310867785463E-2</v>
      </c>
      <c r="X401" s="83">
        <f>(1+W401/12)^(B401)-1</f>
        <v>3.7919243730894054</v>
      </c>
    </row>
    <row r="402" spans="2:24" x14ac:dyDescent="0.25">
      <c r="B402" s="33">
        <v>366</v>
      </c>
      <c r="C402" s="81">
        <f t="shared" si="57"/>
        <v>30.5</v>
      </c>
      <c r="D402" s="105">
        <f t="shared" si="58"/>
        <v>3.9789301544717048E-3</v>
      </c>
      <c r="E402" s="106">
        <f t="shared" si="62"/>
        <v>0.23377436897402057</v>
      </c>
      <c r="F402" s="60">
        <f>rate</f>
        <v>3.2737397821989145E-3</v>
      </c>
      <c r="G402" s="31">
        <f>IF(AND(B401&gt;=gracia,12*años+gracia-B401&gt;0,$L$2&lt;&gt;1),PMT(F401,12*años-B401+gracia,-K401),0)</f>
        <v>0</v>
      </c>
      <c r="H402" s="31">
        <f>IF(AND(12*años+gracia-B401&gt;0,$L$2&lt;&gt;1),K401*F402,0)</f>
        <v>0</v>
      </c>
      <c r="I402" s="31">
        <f>IF(AND(12*años+gracia-B401&gt;0,$L$2&lt;&gt;1),G402-H402,0)</f>
        <v>0</v>
      </c>
      <c r="J402" s="62"/>
      <c r="K402" s="61">
        <f t="shared" si="63"/>
        <v>-3.5527136788005009E-15</v>
      </c>
      <c r="L402" s="61">
        <f>L401*(1+$J$17)^(1/12)</f>
        <v>11085.310629055091</v>
      </c>
      <c r="M402" s="31">
        <f t="shared" si="64"/>
        <v>12</v>
      </c>
      <c r="N402" s="31">
        <f t="shared" si="65"/>
        <v>0</v>
      </c>
      <c r="O402" s="31">
        <f t="shared" si="66"/>
        <v>-2.25</v>
      </c>
      <c r="P402" s="62"/>
      <c r="Q402" s="31">
        <f t="shared" si="59"/>
        <v>9.75</v>
      </c>
      <c r="R402" s="31">
        <f>SUM($Q$36:Q402)</f>
        <v>-3927.6393743894682</v>
      </c>
      <c r="S402" s="83">
        <f>IF($L$2&lt;&gt;1,-(R402-$R$36)/B402*12/$Q$36,0)</f>
        <v>-0.18349638894857673</v>
      </c>
      <c r="T402" s="31">
        <f>SUMPRODUCT($Q$36:Q402,$E$36:E402)/E402-R402</f>
        <v>-6261.734367929881</v>
      </c>
      <c r="U402" s="31">
        <f t="shared" si="60"/>
        <v>7157.6712546656236</v>
      </c>
      <c r="V402" s="31">
        <f t="shared" si="61"/>
        <v>7753.0712546656232</v>
      </c>
      <c r="W402" s="80" cm="1">
        <f t="array" ref="W402">IF($L$2&lt;&gt;1,IRR(IF(ROW($Q$36:Q402)=ROW(Q402),Q402+L402-K402,$Q$36:Q402),W401/12)*12,0)</f>
        <v>5.1583270510901613E-2</v>
      </c>
      <c r="X402" s="83">
        <f>(1+W402/12)^(B402)-1</f>
        <v>3.8062537455871421</v>
      </c>
    </row>
    <row r="403" spans="2:24" x14ac:dyDescent="0.25">
      <c r="B403" s="33">
        <v>367</v>
      </c>
      <c r="C403" s="81">
        <f t="shared" si="57"/>
        <v>30.583333333333332</v>
      </c>
      <c r="D403" s="105">
        <f t="shared" si="58"/>
        <v>3.9789301544717048E-3</v>
      </c>
      <c r="E403" s="106">
        <f t="shared" si="62"/>
        <v>0.23284788350892199</v>
      </c>
      <c r="F403" s="60">
        <f>rate</f>
        <v>3.2737397821989145E-3</v>
      </c>
      <c r="G403" s="31">
        <f>IF(AND(B402&gt;=gracia,12*años+gracia-B402&gt;0,$L$2&lt;&gt;1),PMT(F402,12*años-B402+gracia,-K402),0)</f>
        <v>0</v>
      </c>
      <c r="H403" s="31">
        <f>IF(AND(12*años+gracia-B402&gt;0,$L$2&lt;&gt;1),K402*F403,0)</f>
        <v>0</v>
      </c>
      <c r="I403" s="31">
        <f>IF(AND(12*años+gracia-B402&gt;0,$L$2&lt;&gt;1),G403-H403,0)</f>
        <v>0</v>
      </c>
      <c r="J403" s="62"/>
      <c r="K403" s="61">
        <f t="shared" si="63"/>
        <v>-3.5527136788005009E-15</v>
      </c>
      <c r="L403" s="61">
        <f>L402*(1+$J$17)^(1/12)</f>
        <v>11112.649995576126</v>
      </c>
      <c r="M403" s="31">
        <f t="shared" si="64"/>
        <v>12</v>
      </c>
      <c r="N403" s="31">
        <f t="shared" si="65"/>
        <v>0</v>
      </c>
      <c r="O403" s="31">
        <f t="shared" si="66"/>
        <v>-2.25</v>
      </c>
      <c r="P403" s="62"/>
      <c r="Q403" s="31">
        <f t="shared" si="59"/>
        <v>9.75</v>
      </c>
      <c r="R403" s="31">
        <f>SUM($Q$36:Q403)</f>
        <v>-3917.8893743894682</v>
      </c>
      <c r="S403" s="83">
        <f>IF($L$2&lt;&gt;1,-(R403-$R$36)/B403*12/$Q$36,0)</f>
        <v>-0.18246095859662326</v>
      </c>
      <c r="T403" s="31">
        <f>SUMPRODUCT($Q$36:Q403,$E$36:E403)/E403-R403</f>
        <v>-6302.2771743683788</v>
      </c>
      <c r="U403" s="31">
        <f t="shared" si="60"/>
        <v>7194.7606211866587</v>
      </c>
      <c r="V403" s="31">
        <f t="shared" si="61"/>
        <v>7790.1606211866583</v>
      </c>
      <c r="W403" s="80" cm="1">
        <f t="array" ref="W403">IF($L$2&lt;&gt;1,IRR(IF(ROW($Q$36:Q403)=ROW(Q403),Q403+L403-K403,$Q$36:Q403),W402/12)*12,0)</f>
        <v>5.1540486541334474E-2</v>
      </c>
      <c r="X403" s="83">
        <f>(1+W403/12)^(B403)-1</f>
        <v>3.8206291504490277</v>
      </c>
    </row>
    <row r="404" spans="2:24" x14ac:dyDescent="0.25">
      <c r="B404" s="33">
        <v>368</v>
      </c>
      <c r="C404" s="81">
        <f t="shared" si="57"/>
        <v>30.666666666666668</v>
      </c>
      <c r="D404" s="105">
        <f t="shared" si="58"/>
        <v>3.9789301544717048E-3</v>
      </c>
      <c r="E404" s="106">
        <f t="shared" si="62"/>
        <v>0.23192506985489839</v>
      </c>
      <c r="F404" s="60">
        <f>rate</f>
        <v>3.2737397821989145E-3</v>
      </c>
      <c r="G404" s="31">
        <f>IF(AND(B403&gt;=gracia,12*años+gracia-B403&gt;0,$L$2&lt;&gt;1),PMT(F403,12*años-B403+gracia,-K403),0)</f>
        <v>0</v>
      </c>
      <c r="H404" s="31">
        <f>IF(AND(12*años+gracia-B403&gt;0,$L$2&lt;&gt;1),K403*F404,0)</f>
        <v>0</v>
      </c>
      <c r="I404" s="31">
        <f>IF(AND(12*años+gracia-B403&gt;0,$L$2&lt;&gt;1),G404-H404,0)</f>
        <v>0</v>
      </c>
      <c r="J404" s="62"/>
      <c r="K404" s="61">
        <f t="shared" si="63"/>
        <v>-3.5527136788005009E-15</v>
      </c>
      <c r="L404" s="61">
        <f>L403*(1+$J$17)^(1/12)</f>
        <v>11140.056788350406</v>
      </c>
      <c r="M404" s="31">
        <f t="shared" si="64"/>
        <v>12</v>
      </c>
      <c r="N404" s="31">
        <f t="shared" si="65"/>
        <v>0</v>
      </c>
      <c r="O404" s="31">
        <f t="shared" si="66"/>
        <v>-2.25</v>
      </c>
      <c r="P404" s="62"/>
      <c r="Q404" s="31">
        <f t="shared" si="59"/>
        <v>9.75</v>
      </c>
      <c r="R404" s="31">
        <f>SUM($Q$36:Q404)</f>
        <v>-3908.1393743894682</v>
      </c>
      <c r="S404" s="83">
        <f>IF($L$2&lt;&gt;1,-(R404-$R$36)/B404*12/$Q$36,0)</f>
        <v>-0.18143115558353909</v>
      </c>
      <c r="T404" s="31">
        <f>SUMPRODUCT($Q$36:Q404,$E$36:E404)/E404-R404</f>
        <v>-6342.9425032329546</v>
      </c>
      <c r="U404" s="31">
        <f t="shared" si="60"/>
        <v>7231.9174139609386</v>
      </c>
      <c r="V404" s="31">
        <f t="shared" si="61"/>
        <v>7827.3174139609382</v>
      </c>
      <c r="W404" s="80" cm="1">
        <f t="array" ref="W404">IF($L$2&lt;&gt;1,IRR(IF(ROW($Q$36:Q404)=ROW(Q404),Q404+L404-K404,$Q$36:Q404),W403/12)*12,0)</f>
        <v>5.1497956094705977E-2</v>
      </c>
      <c r="X404" s="83">
        <f>(1+W404/12)^(B404)-1</f>
        <v>3.8350506302730558</v>
      </c>
    </row>
    <row r="405" spans="2:24" x14ac:dyDescent="0.25">
      <c r="B405" s="33">
        <v>369</v>
      </c>
      <c r="C405" s="81">
        <f t="shared" si="57"/>
        <v>30.75</v>
      </c>
      <c r="D405" s="105">
        <f t="shared" si="58"/>
        <v>3.9789301544717048E-3</v>
      </c>
      <c r="E405" s="106">
        <f t="shared" si="62"/>
        <v>0.23100591345997123</v>
      </c>
      <c r="F405" s="60">
        <f>rate</f>
        <v>3.2737397821989145E-3</v>
      </c>
      <c r="G405" s="31">
        <f>IF(AND(B404&gt;=gracia,12*años+gracia-B404&gt;0,$L$2&lt;&gt;1),PMT(F404,12*años-B404+gracia,-K404),0)</f>
        <v>0</v>
      </c>
      <c r="H405" s="31">
        <f>IF(AND(12*años+gracia-B404&gt;0,$L$2&lt;&gt;1),K404*F405,0)</f>
        <v>0</v>
      </c>
      <c r="I405" s="31">
        <f>IF(AND(12*años+gracia-B404&gt;0,$L$2&lt;&gt;1),G405-H405,0)</f>
        <v>0</v>
      </c>
      <c r="J405" s="62"/>
      <c r="K405" s="61">
        <f t="shared" si="63"/>
        <v>-3.5527136788005009E-15</v>
      </c>
      <c r="L405" s="61">
        <f>L404*(1+$J$17)^(1/12)</f>
        <v>11167.531173669262</v>
      </c>
      <c r="M405" s="31">
        <f t="shared" si="64"/>
        <v>12</v>
      </c>
      <c r="N405" s="31">
        <f t="shared" si="65"/>
        <v>0</v>
      </c>
      <c r="O405" s="31">
        <f t="shared" si="66"/>
        <v>-2.25</v>
      </c>
      <c r="P405" s="62"/>
      <c r="Q405" s="31">
        <f t="shared" si="59"/>
        <v>9.75</v>
      </c>
      <c r="R405" s="31">
        <f>SUM($Q$36:Q405)</f>
        <v>-3898.3893743894682</v>
      </c>
      <c r="S405" s="83">
        <f>IF($L$2&lt;&gt;1,-(R405-$R$36)/B405*12/$Q$36,0)</f>
        <v>-0.18040693415860173</v>
      </c>
      <c r="T405" s="31">
        <f>SUMPRODUCT($Q$36:Q405,$E$36:E405)/E405-R405</f>
        <v>-6383.7308420317841</v>
      </c>
      <c r="U405" s="31">
        <f t="shared" si="60"/>
        <v>7269.1417992797942</v>
      </c>
      <c r="V405" s="31">
        <f t="shared" si="61"/>
        <v>7864.5417992797938</v>
      </c>
      <c r="W405" s="80" cm="1">
        <f t="array" ref="W405">IF($L$2&lt;&gt;1,IRR(IF(ROW($Q$36:Q405)=ROW(Q405),Q405+L405-K405,$Q$36:Q405),W404/12)*12,0)</f>
        <v>5.1455676351500834E-2</v>
      </c>
      <c r="X405" s="83">
        <f>(1+W405/12)^(B405)-1</f>
        <v>3.8495182288981109</v>
      </c>
    </row>
    <row r="406" spans="2:24" x14ac:dyDescent="0.25">
      <c r="B406" s="33">
        <v>370</v>
      </c>
      <c r="C406" s="81">
        <f t="shared" si="57"/>
        <v>30.833333333333332</v>
      </c>
      <c r="D406" s="105">
        <f t="shared" si="58"/>
        <v>3.9789301544717048E-3</v>
      </c>
      <c r="E406" s="106">
        <f t="shared" si="62"/>
        <v>0.23009039982983387</v>
      </c>
      <c r="F406" s="60">
        <f>rate</f>
        <v>3.2737397821989145E-3</v>
      </c>
      <c r="G406" s="31">
        <f>IF(AND(B405&gt;=gracia,12*años+gracia-B405&gt;0,$L$2&lt;&gt;1),PMT(F405,12*años-B405+gracia,-K405),0)</f>
        <v>0</v>
      </c>
      <c r="H406" s="31">
        <f>IF(AND(12*años+gracia-B405&gt;0,$L$2&lt;&gt;1),K405*F406,0)</f>
        <v>0</v>
      </c>
      <c r="I406" s="31">
        <f>IF(AND(12*años+gracia-B405&gt;0,$L$2&lt;&gt;1),G406-H406,0)</f>
        <v>0</v>
      </c>
      <c r="J406" s="62"/>
      <c r="K406" s="61">
        <f t="shared" si="63"/>
        <v>-3.5527136788005009E-15</v>
      </c>
      <c r="L406" s="61">
        <f>L405*(1+$J$17)^(1/12)</f>
        <v>11195.073318234141</v>
      </c>
      <c r="M406" s="31">
        <f t="shared" si="64"/>
        <v>12</v>
      </c>
      <c r="N406" s="31">
        <f t="shared" si="65"/>
        <v>0</v>
      </c>
      <c r="O406" s="31">
        <f t="shared" si="66"/>
        <v>-2.25</v>
      </c>
      <c r="P406" s="62"/>
      <c r="Q406" s="31">
        <f t="shared" si="59"/>
        <v>9.75</v>
      </c>
      <c r="R406" s="31">
        <f>SUM($Q$36:Q406)</f>
        <v>-3888.6393743894682</v>
      </c>
      <c r="S406" s="83">
        <f>IF($L$2&lt;&gt;1,-(R406-$R$36)/B406*12/$Q$36,0)</f>
        <v>-0.17938824906569112</v>
      </c>
      <c r="T406" s="31">
        <f>SUMPRODUCT($Q$36:Q406,$E$36:E406)/E406-R406</f>
        <v>-6424.6426802128062</v>
      </c>
      <c r="U406" s="31">
        <f t="shared" si="60"/>
        <v>7306.4339438446732</v>
      </c>
      <c r="V406" s="31">
        <f t="shared" si="61"/>
        <v>7901.8339438446728</v>
      </c>
      <c r="W406" s="80" cm="1">
        <f t="array" ref="W406">IF($L$2&lt;&gt;1,IRR(IF(ROW($Q$36:Q406)=ROW(Q406),Q406+L406-K406,$Q$36:Q406),W405/12)*12,0)</f>
        <v>5.1413644536171255E-2</v>
      </c>
      <c r="X406" s="83">
        <f>(1+W406/12)^(B406)-1</f>
        <v>3.864031991384123</v>
      </c>
    </row>
    <row r="407" spans="2:24" x14ac:dyDescent="0.25">
      <c r="B407" s="33">
        <v>371</v>
      </c>
      <c r="C407" s="81">
        <f t="shared" si="57"/>
        <v>30.916666666666668</v>
      </c>
      <c r="D407" s="105">
        <f t="shared" si="58"/>
        <v>3.9789301544717048E-3</v>
      </c>
      <c r="E407" s="106">
        <f t="shared" si="62"/>
        <v>0.22917851452762289</v>
      </c>
      <c r="F407" s="60">
        <f>rate</f>
        <v>3.2737397821989145E-3</v>
      </c>
      <c r="G407" s="31">
        <f>IF(AND(B406&gt;=gracia,12*años+gracia-B406&gt;0,$L$2&lt;&gt;1),PMT(F406,12*años-B406+gracia,-K406),0)</f>
        <v>0</v>
      </c>
      <c r="H407" s="31">
        <f>IF(AND(12*años+gracia-B406&gt;0,$L$2&lt;&gt;1),K406*F407,0)</f>
        <v>0</v>
      </c>
      <c r="I407" s="31">
        <f>IF(AND(12*años+gracia-B406&gt;0,$L$2&lt;&gt;1),G407-H407,0)</f>
        <v>0</v>
      </c>
      <c r="J407" s="62"/>
      <c r="K407" s="61">
        <f t="shared" si="63"/>
        <v>-3.5527136788005009E-15</v>
      </c>
      <c r="L407" s="61">
        <f>L406*(1+$J$17)^(1/12)</f>
        <v>11222.683389157626</v>
      </c>
      <c r="M407" s="31">
        <f t="shared" si="64"/>
        <v>12</v>
      </c>
      <c r="N407" s="31">
        <f t="shared" si="65"/>
        <v>0</v>
      </c>
      <c r="O407" s="31">
        <f t="shared" si="66"/>
        <v>-2.25</v>
      </c>
      <c r="P407" s="62"/>
      <c r="Q407" s="31">
        <f t="shared" si="59"/>
        <v>9.75</v>
      </c>
      <c r="R407" s="31">
        <f>SUM($Q$36:Q407)</f>
        <v>-3878.8893743894682</v>
      </c>
      <c r="S407" s="83">
        <f>IF($L$2&lt;&gt;1,-(R407-$R$36)/B407*12/$Q$36,0)</f>
        <v>-0.17837505553662364</v>
      </c>
      <c r="T407" s="31">
        <f>SUMPRODUCT($Q$36:Q407,$E$36:E407)/E407-R407</f>
        <v>-6465.6785091714355</v>
      </c>
      <c r="U407" s="31">
        <f t="shared" si="60"/>
        <v>7343.7940147681584</v>
      </c>
      <c r="V407" s="31">
        <f t="shared" si="61"/>
        <v>7939.194014768158</v>
      </c>
      <c r="W407" s="80" cm="1">
        <f t="array" ref="W407">IF($L$2&lt;&gt;1,IRR(IF(ROW($Q$36:Q407)=ROW(Q407),Q407+L407-K407,$Q$36:Q407),W406/12)*12,0)</f>
        <v>5.1371857916292285E-2</v>
      </c>
      <c r="X407" s="83">
        <f>(1+W407/12)^(B407)-1</f>
        <v>3.8785919639949036</v>
      </c>
    </row>
    <row r="408" spans="2:24" x14ac:dyDescent="0.25">
      <c r="B408" s="33">
        <v>372</v>
      </c>
      <c r="C408" s="81">
        <f t="shared" si="57"/>
        <v>31</v>
      </c>
      <c r="D408" s="105">
        <f t="shared" si="58"/>
        <v>3.9789301544717048E-3</v>
      </c>
      <c r="E408" s="106">
        <f t="shared" si="62"/>
        <v>0.22827024317369049</v>
      </c>
      <c r="F408" s="60">
        <f>rate</f>
        <v>3.2737397821989145E-3</v>
      </c>
      <c r="G408" s="31">
        <f>IF(AND(B407&gt;=gracia,12*años+gracia-B407&gt;0,$L$2&lt;&gt;1),PMT(F407,12*años-B407+gracia,-K407),0)</f>
        <v>0</v>
      </c>
      <c r="H408" s="31">
        <f>IF(AND(12*años+gracia-B407&gt;0,$L$2&lt;&gt;1),K407*F408,0)</f>
        <v>0</v>
      </c>
      <c r="I408" s="31">
        <f>IF(AND(12*años+gracia-B407&gt;0,$L$2&lt;&gt;1),G408-H408,0)</f>
        <v>0</v>
      </c>
      <c r="J408" s="62"/>
      <c r="K408" s="61">
        <f t="shared" si="63"/>
        <v>-3.5527136788005009E-15</v>
      </c>
      <c r="L408" s="61">
        <f>L407*(1+$J$17)^(1/12)</f>
        <v>11250.36155396444</v>
      </c>
      <c r="M408" s="31">
        <f t="shared" si="64"/>
        <v>12</v>
      </c>
      <c r="N408" s="31">
        <f t="shared" si="65"/>
        <v>0</v>
      </c>
      <c r="O408" s="31">
        <f t="shared" si="66"/>
        <v>-2.25</v>
      </c>
      <c r="P408" s="62"/>
      <c r="Q408" s="31">
        <f t="shared" si="59"/>
        <v>9.75</v>
      </c>
      <c r="R408" s="31">
        <f>SUM($Q$36:Q408)</f>
        <v>-3869.1393743894682</v>
      </c>
      <c r="S408" s="83">
        <f>IF($L$2&lt;&gt;1,-(R408-$R$36)/B408*12/$Q$36,0)</f>
        <v>-0.17736730928459415</v>
      </c>
      <c r="T408" s="31">
        <f>SUMPRODUCT($Q$36:Q408,$E$36:E408)/E408-R408</f>
        <v>-6506.8388222583162</v>
      </c>
      <c r="U408" s="31">
        <f t="shared" si="60"/>
        <v>7381.222179574972</v>
      </c>
      <c r="V408" s="31">
        <f t="shared" si="61"/>
        <v>7976.6221795749716</v>
      </c>
      <c r="W408" s="80" cm="1">
        <f t="array" ref="W408">IF($L$2&lt;&gt;1,IRR(IF(ROW($Q$36:Q408)=ROW(Q408),Q408+L408-K408,$Q$36:Q408),W407/12)*12,0)</f>
        <v>5.1330313801727812E-2</v>
      </c>
      <c r="X408" s="83">
        <f>(1+W408/12)^(B408)-1</f>
        <v>3.8931981941811014</v>
      </c>
    </row>
    <row r="409" spans="2:24" x14ac:dyDescent="0.25">
      <c r="B409" s="33">
        <v>373</v>
      </c>
      <c r="C409" s="81">
        <f t="shared" si="57"/>
        <v>31.083333333333332</v>
      </c>
      <c r="D409" s="105">
        <f t="shared" si="58"/>
        <v>3.9789301544717048E-3</v>
      </c>
      <c r="E409" s="106">
        <f t="shared" si="62"/>
        <v>0.22736557144537778</v>
      </c>
      <c r="F409" s="60">
        <f>rate</f>
        <v>3.2737397821989145E-3</v>
      </c>
      <c r="G409" s="31">
        <f>IF(AND(B408&gt;=gracia,12*años+gracia-B408&gt;0,$L$2&lt;&gt;1),PMT(F408,12*años-B408+gracia,-K408),0)</f>
        <v>0</v>
      </c>
      <c r="H409" s="31">
        <f>IF(AND(12*años+gracia-B408&gt;0,$L$2&lt;&gt;1),K408*F409,0)</f>
        <v>0</v>
      </c>
      <c r="I409" s="31">
        <f>IF(AND(12*años+gracia-B408&gt;0,$L$2&lt;&gt;1),G409-H409,0)</f>
        <v>0</v>
      </c>
      <c r="J409" s="62"/>
      <c r="K409" s="61">
        <f t="shared" si="63"/>
        <v>-3.5527136788005009E-15</v>
      </c>
      <c r="L409" s="61">
        <f>L408*(1+$J$17)^(1/12)</f>
        <v>11278.107980592469</v>
      </c>
      <c r="M409" s="31">
        <f t="shared" si="64"/>
        <v>12</v>
      </c>
      <c r="N409" s="31">
        <f t="shared" si="65"/>
        <v>0</v>
      </c>
      <c r="O409" s="31">
        <f t="shared" si="66"/>
        <v>-2.25</v>
      </c>
      <c r="P409" s="62"/>
      <c r="Q409" s="31">
        <f t="shared" si="59"/>
        <v>9.75</v>
      </c>
      <c r="R409" s="31">
        <f>SUM($Q$36:Q409)</f>
        <v>-3859.3893743894682</v>
      </c>
      <c r="S409" s="83">
        <f>IF($L$2&lt;&gt;1,-(R409-$R$36)/B409*12/$Q$36,0)</f>
        <v>-0.17636496649772301</v>
      </c>
      <c r="T409" s="31">
        <f>SUMPRODUCT($Q$36:Q409,$E$36:E409)/E409-R409</f>
        <v>-6548.1241147871006</v>
      </c>
      <c r="U409" s="31">
        <f t="shared" si="60"/>
        <v>7418.7186062030014</v>
      </c>
      <c r="V409" s="31">
        <f t="shared" si="61"/>
        <v>8014.118606203001</v>
      </c>
      <c r="W409" s="80" cm="1">
        <f t="array" ref="W409">IF($L$2&lt;&gt;1,IRR(IF(ROW($Q$36:Q409)=ROW(Q409),Q409+L409-K409,$Q$36:Q409),W408/12)*12,0)</f>
        <v>5.1289009543817876E-2</v>
      </c>
      <c r="X409" s="83">
        <f>(1+W409/12)^(B409)-1</f>
        <v>3.9078507305636752</v>
      </c>
    </row>
    <row r="410" spans="2:24" x14ac:dyDescent="0.25">
      <c r="B410" s="33">
        <v>374</v>
      </c>
      <c r="C410" s="81">
        <f t="shared" si="57"/>
        <v>31.166666666666668</v>
      </c>
      <c r="D410" s="105">
        <f t="shared" si="58"/>
        <v>3.9789301544717048E-3</v>
      </c>
      <c r="E410" s="106">
        <f t="shared" si="62"/>
        <v>0.22646448507678885</v>
      </c>
      <c r="F410" s="60">
        <f>rate</f>
        <v>3.2737397821989145E-3</v>
      </c>
      <c r="G410" s="31">
        <f>IF(AND(B409&gt;=gracia,12*años+gracia-B409&gt;0,$L$2&lt;&gt;1),PMT(F409,12*años-B409+gracia,-K409),0)</f>
        <v>0</v>
      </c>
      <c r="H410" s="31">
        <f>IF(AND(12*años+gracia-B409&gt;0,$L$2&lt;&gt;1),K409*F410,0)</f>
        <v>0</v>
      </c>
      <c r="I410" s="31">
        <f>IF(AND(12*años+gracia-B409&gt;0,$L$2&lt;&gt;1),G410-H410,0)</f>
        <v>0</v>
      </c>
      <c r="J410" s="62"/>
      <c r="K410" s="61">
        <f t="shared" si="63"/>
        <v>-3.5527136788005009E-15</v>
      </c>
      <c r="L410" s="61">
        <f>L409*(1+$J$17)^(1/12)</f>
        <v>11305.922837393782</v>
      </c>
      <c r="M410" s="31">
        <f t="shared" si="64"/>
        <v>12</v>
      </c>
      <c r="N410" s="31">
        <f t="shared" si="65"/>
        <v>0</v>
      </c>
      <c r="O410" s="31">
        <f t="shared" si="66"/>
        <v>-2.25</v>
      </c>
      <c r="P410" s="62"/>
      <c r="Q410" s="31">
        <f t="shared" si="59"/>
        <v>9.75</v>
      </c>
      <c r="R410" s="31">
        <f>SUM($Q$36:Q410)</f>
        <v>-3849.6393743894682</v>
      </c>
      <c r="S410" s="83">
        <f>IF($L$2&lt;&gt;1,-(R410-$R$36)/B410*12/$Q$36,0)</f>
        <v>-0.1753679838327068</v>
      </c>
      <c r="T410" s="31">
        <f>SUMPRODUCT($Q$36:Q410,$E$36:E410)/E410-R410</f>
        <v>-6589.5348840422539</v>
      </c>
      <c r="U410" s="31">
        <f t="shared" si="60"/>
        <v>7456.2834630043144</v>
      </c>
      <c r="V410" s="31">
        <f t="shared" si="61"/>
        <v>8051.683463004314</v>
      </c>
      <c r="W410" s="80" cm="1">
        <f t="array" ref="W410">IF($L$2&lt;&gt;1,IRR(IF(ROW($Q$36:Q410)=ROW(Q410),Q410+L410-K410,$Q$36:Q410),W409/12)*12,0)</f>
        <v>5.1247942534571322E-2</v>
      </c>
      <c r="X410" s="83">
        <f>(1+W410/12)^(B410)-1</f>
        <v>3.9225496229154473</v>
      </c>
    </row>
    <row r="411" spans="2:24" x14ac:dyDescent="0.25">
      <c r="B411" s="33">
        <v>375</v>
      </c>
      <c r="C411" s="81">
        <f t="shared" si="57"/>
        <v>31.25</v>
      </c>
      <c r="D411" s="105">
        <f t="shared" si="58"/>
        <v>3.9789301544717048E-3</v>
      </c>
      <c r="E411" s="106">
        <f t="shared" si="62"/>
        <v>0.22556696985856578</v>
      </c>
      <c r="F411" s="60">
        <f>rate</f>
        <v>3.2737397821989145E-3</v>
      </c>
      <c r="G411" s="31">
        <f>IF(AND(B410&gt;=gracia,12*años+gracia-B410&gt;0,$L$2&lt;&gt;1),PMT(F410,12*años-B410+gracia,-K410),0)</f>
        <v>0</v>
      </c>
      <c r="H411" s="31">
        <f>IF(AND(12*años+gracia-B410&gt;0,$L$2&lt;&gt;1),K410*F411,0)</f>
        <v>0</v>
      </c>
      <c r="I411" s="31">
        <f>IF(AND(12*años+gracia-B410&gt;0,$L$2&lt;&gt;1),G411-H411,0)</f>
        <v>0</v>
      </c>
      <c r="J411" s="62"/>
      <c r="K411" s="61">
        <f t="shared" si="63"/>
        <v>-3.5527136788005009E-15</v>
      </c>
      <c r="L411" s="61">
        <f>L410*(1+$J$17)^(1/12)</f>
        <v>11333.806293135644</v>
      </c>
      <c r="M411" s="31">
        <f t="shared" si="64"/>
        <v>12</v>
      </c>
      <c r="N411" s="31">
        <f t="shared" si="65"/>
        <v>0</v>
      </c>
      <c r="O411" s="31">
        <f t="shared" si="66"/>
        <v>-2.25</v>
      </c>
      <c r="P411" s="62"/>
      <c r="Q411" s="31">
        <f t="shared" si="59"/>
        <v>9.75</v>
      </c>
      <c r="R411" s="31">
        <f>SUM($Q$36:Q411)</f>
        <v>-3839.8893743894682</v>
      </c>
      <c r="S411" s="83">
        <f>IF($L$2&lt;&gt;1,-(R411-$R$36)/B411*12/$Q$36,0)</f>
        <v>-0.17437631840857071</v>
      </c>
      <c r="T411" s="31">
        <f>SUMPRODUCT($Q$36:Q411,$E$36:E411)/E411-R411</f>
        <v>-6631.0716292869129</v>
      </c>
      <c r="U411" s="31">
        <f t="shared" si="60"/>
        <v>7493.9169187461757</v>
      </c>
      <c r="V411" s="31">
        <f t="shared" si="61"/>
        <v>8089.3169187461754</v>
      </c>
      <c r="W411" s="80" cm="1">
        <f t="array" ref="W411">IF($L$2&lt;&gt;1,IRR(IF(ROW($Q$36:Q411)=ROW(Q411),Q411+L411-K411,$Q$36:Q411),W410/12)*12,0)</f>
        <v>5.1207110205885087E-2</v>
      </c>
      <c r="X411" s="83">
        <f>(1+W411/12)^(B411)-1</f>
        <v>3.9372949221459894</v>
      </c>
    </row>
    <row r="412" spans="2:24" x14ac:dyDescent="0.25">
      <c r="B412" s="33">
        <v>376</v>
      </c>
      <c r="C412" s="81">
        <f t="shared" si="57"/>
        <v>31.333333333333332</v>
      </c>
      <c r="D412" s="105">
        <f t="shared" si="58"/>
        <v>3.9789301544717048E-3</v>
      </c>
      <c r="E412" s="106">
        <f t="shared" si="62"/>
        <v>0.2246730116376647</v>
      </c>
      <c r="F412" s="60">
        <f>rate</f>
        <v>3.2737397821989145E-3</v>
      </c>
      <c r="G412" s="31">
        <f>IF(AND(B411&gt;=gracia,12*años+gracia-B411&gt;0,$L$2&lt;&gt;1),PMT(F411,12*años-B411+gracia,-K411),0)</f>
        <v>0</v>
      </c>
      <c r="H412" s="31">
        <f>IF(AND(12*años+gracia-B411&gt;0,$L$2&lt;&gt;1),K411*F412,0)</f>
        <v>0</v>
      </c>
      <c r="I412" s="31">
        <f>IF(AND(12*años+gracia-B411&gt;0,$L$2&lt;&gt;1),G412-H412,0)</f>
        <v>0</v>
      </c>
      <c r="J412" s="62"/>
      <c r="K412" s="61">
        <f t="shared" si="63"/>
        <v>-3.5527136788005009E-15</v>
      </c>
      <c r="L412" s="61">
        <f>L411*(1+$J$17)^(1/12)</f>
        <v>11361.75851700155</v>
      </c>
      <c r="M412" s="31">
        <f t="shared" si="64"/>
        <v>12</v>
      </c>
      <c r="N412" s="31">
        <f t="shared" si="65"/>
        <v>0</v>
      </c>
      <c r="O412" s="31">
        <f t="shared" si="66"/>
        <v>-2.25</v>
      </c>
      <c r="P412" s="62"/>
      <c r="Q412" s="31">
        <f t="shared" si="59"/>
        <v>9.75</v>
      </c>
      <c r="R412" s="31">
        <f>SUM($Q$36:Q412)</f>
        <v>-3830.1393743894682</v>
      </c>
      <c r="S412" s="83">
        <f>IF($L$2&lt;&gt;1,-(R412-$R$36)/B412*12/$Q$36,0)</f>
        <v>-0.1733899278005204</v>
      </c>
      <c r="T412" s="31">
        <f>SUMPRODUCT($Q$36:Q412,$E$36:E412)/E412-R412</f>
        <v>-6672.7348517707378</v>
      </c>
      <c r="U412" s="31">
        <f t="shared" si="60"/>
        <v>7531.6191426120822</v>
      </c>
      <c r="V412" s="31">
        <f t="shared" si="61"/>
        <v>8127.0191426120819</v>
      </c>
      <c r="W412" s="80" cm="1">
        <f t="array" ref="W412">IF($L$2&lt;&gt;1,IRR(IF(ROW($Q$36:Q412)=ROW(Q412),Q412+L412-K412,$Q$36:Q412),W411/12)*12,0)</f>
        <v>5.1166510028806123E-2</v>
      </c>
      <c r="X412" s="83">
        <f>(1+W412/12)^(B412)-1</f>
        <v>3.952086680286973</v>
      </c>
    </row>
    <row r="413" spans="2:24" x14ac:dyDescent="0.25">
      <c r="B413" s="33">
        <v>377</v>
      </c>
      <c r="C413" s="81">
        <f t="shared" si="57"/>
        <v>31.416666666666668</v>
      </c>
      <c r="D413" s="105">
        <f t="shared" si="58"/>
        <v>3.9789301544717048E-3</v>
      </c>
      <c r="E413" s="106">
        <f t="shared" si="62"/>
        <v>0.22378259631713249</v>
      </c>
      <c r="F413" s="60">
        <f>rate</f>
        <v>3.2737397821989145E-3</v>
      </c>
      <c r="G413" s="31">
        <f>IF(AND(B412&gt;=gracia,12*años+gracia-B412&gt;0,$L$2&lt;&gt;1),PMT(F412,12*años-B412+gracia,-K412),0)</f>
        <v>0</v>
      </c>
      <c r="H413" s="31">
        <f>IF(AND(12*años+gracia-B412&gt;0,$L$2&lt;&gt;1),K412*F413,0)</f>
        <v>0</v>
      </c>
      <c r="I413" s="31">
        <f>IF(AND(12*años+gracia-B412&gt;0,$L$2&lt;&gt;1),G413-H413,0)</f>
        <v>0</v>
      </c>
      <c r="J413" s="62"/>
      <c r="K413" s="61">
        <f t="shared" si="63"/>
        <v>-3.5527136788005009E-15</v>
      </c>
      <c r="L413" s="61">
        <f>L412*(1+$J$17)^(1/12)</f>
        <v>11389.779678592246</v>
      </c>
      <c r="M413" s="31">
        <f t="shared" si="64"/>
        <v>12</v>
      </c>
      <c r="N413" s="31">
        <f t="shared" si="65"/>
        <v>0</v>
      </c>
      <c r="O413" s="31">
        <f t="shared" si="66"/>
        <v>-2.25</v>
      </c>
      <c r="P413" s="62"/>
      <c r="Q413" s="31">
        <f t="shared" si="59"/>
        <v>9.75</v>
      </c>
      <c r="R413" s="31">
        <f>SUM($Q$36:Q413)</f>
        <v>-3820.3893743894682</v>
      </c>
      <c r="S413" s="83">
        <f>IF($L$2&lt;&gt;1,-(R413-$R$36)/B413*12/$Q$36,0)</f>
        <v>-0.17240877003389213</v>
      </c>
      <c r="T413" s="31">
        <f>SUMPRODUCT($Q$36:Q413,$E$36:E413)/E413-R413</f>
        <v>-6714.5250547378309</v>
      </c>
      <c r="U413" s="31">
        <f t="shared" si="60"/>
        <v>7569.3903042027778</v>
      </c>
      <c r="V413" s="31">
        <f t="shared" si="61"/>
        <v>8164.7903042027774</v>
      </c>
      <c r="W413" s="80" cm="1">
        <f t="array" ref="W413">IF($L$2&lt;&gt;1,IRR(IF(ROW($Q$36:Q413)=ROW(Q413),Q413+L413-K413,$Q$36:Q413),W412/12)*12,0)</f>
        <v>5.1126139512756019E-2</v>
      </c>
      <c r="X413" s="83">
        <f>(1+W413/12)^(B413)-1</f>
        <v>3.9669249504743886</v>
      </c>
    </row>
    <row r="414" spans="2:24" x14ac:dyDescent="0.25">
      <c r="B414" s="33">
        <v>378</v>
      </c>
      <c r="C414" s="81">
        <f t="shared" si="57"/>
        <v>31.5</v>
      </c>
      <c r="D414" s="105">
        <f t="shared" si="58"/>
        <v>3.9789301544717048E-3</v>
      </c>
      <c r="E414" s="106">
        <f t="shared" si="62"/>
        <v>0.22289570985588453</v>
      </c>
      <c r="F414" s="60">
        <f>rate</f>
        <v>3.2737397821989145E-3</v>
      </c>
      <c r="G414" s="31">
        <f>IF(AND(B413&gt;=gracia,12*años+gracia-B413&gt;0,$L$2&lt;&gt;1),PMT(F413,12*años-B413+gracia,-K413),0)</f>
        <v>0</v>
      </c>
      <c r="H414" s="31">
        <f>IF(AND(12*años+gracia-B413&gt;0,$L$2&lt;&gt;1),K413*F414,0)</f>
        <v>0</v>
      </c>
      <c r="I414" s="31">
        <f>IF(AND(12*años+gracia-B413&gt;0,$L$2&lt;&gt;1),G414-H414,0)</f>
        <v>0</v>
      </c>
      <c r="J414" s="62"/>
      <c r="K414" s="61">
        <f t="shared" si="63"/>
        <v>-3.5527136788005009E-15</v>
      </c>
      <c r="L414" s="61">
        <f>L413*(1+$J$17)^(1/12)</f>
        <v>11417.869947926756</v>
      </c>
      <c r="M414" s="31">
        <f t="shared" si="64"/>
        <v>12</v>
      </c>
      <c r="N414" s="31">
        <f t="shared" si="65"/>
        <v>0</v>
      </c>
      <c r="O414" s="31">
        <f t="shared" si="66"/>
        <v>-2.25</v>
      </c>
      <c r="P414" s="62"/>
      <c r="Q414" s="31">
        <f t="shared" si="59"/>
        <v>9.75</v>
      </c>
      <c r="R414" s="31">
        <f>SUM($Q$36:Q414)</f>
        <v>-3810.6393743894682</v>
      </c>
      <c r="S414" s="83">
        <f>IF($L$2&lt;&gt;1,-(R414-$R$36)/B414*12/$Q$36,0)</f>
        <v>-0.17143280357819835</v>
      </c>
      <c r="T414" s="31">
        <f>SUMPRODUCT($Q$36:Q414,$E$36:E414)/E414-R414</f>
        <v>-6756.4427434346635</v>
      </c>
      <c r="U414" s="31">
        <f t="shared" si="60"/>
        <v>7607.2305735372884</v>
      </c>
      <c r="V414" s="31">
        <f t="shared" si="61"/>
        <v>8202.630573537288</v>
      </c>
      <c r="W414" s="80" cm="1">
        <f t="array" ref="W414">IF($L$2&lt;&gt;1,IRR(IF(ROW($Q$36:Q414)=ROW(Q414),Q414+L414-K414,$Q$36:Q414),W413/12)*12,0)</f>
        <v>5.1085996204822237E-2</v>
      </c>
      <c r="X414" s="83">
        <f>(1+W414/12)^(B414)-1</f>
        <v>3.9818097869350346</v>
      </c>
    </row>
    <row r="415" spans="2:24" x14ac:dyDescent="0.25">
      <c r="B415" s="33">
        <v>379</v>
      </c>
      <c r="C415" s="81">
        <f t="shared" si="57"/>
        <v>31.583333333333332</v>
      </c>
      <c r="D415" s="105">
        <f t="shared" si="58"/>
        <v>3.9789301544717048E-3</v>
      </c>
      <c r="E415" s="106">
        <f t="shared" si="62"/>
        <v>0.22201233826848329</v>
      </c>
      <c r="F415" s="60">
        <f>rate</f>
        <v>3.2737397821989145E-3</v>
      </c>
      <c r="G415" s="31">
        <f>IF(AND(B414&gt;=gracia,12*años+gracia-B414&gt;0,$L$2&lt;&gt;1),PMT(F414,12*años-B414+gracia,-K414),0)</f>
        <v>0</v>
      </c>
      <c r="H415" s="31">
        <f>IF(AND(12*años+gracia-B414&gt;0,$L$2&lt;&gt;1),K414*F415,0)</f>
        <v>0</v>
      </c>
      <c r="I415" s="31">
        <f>IF(AND(12*años+gracia-B414&gt;0,$L$2&lt;&gt;1),G415-H415,0)</f>
        <v>0</v>
      </c>
      <c r="J415" s="62"/>
      <c r="K415" s="61">
        <f t="shared" si="63"/>
        <v>-3.5527136788005009E-15</v>
      </c>
      <c r="L415" s="61">
        <f>L414*(1+$J$17)^(1/12)</f>
        <v>11446.029495443423</v>
      </c>
      <c r="M415" s="31">
        <f t="shared" si="64"/>
        <v>12</v>
      </c>
      <c r="N415" s="31">
        <f t="shared" si="65"/>
        <v>0</v>
      </c>
      <c r="O415" s="31">
        <f t="shared" si="66"/>
        <v>-2.25</v>
      </c>
      <c r="P415" s="62"/>
      <c r="Q415" s="31">
        <f t="shared" si="59"/>
        <v>9.75</v>
      </c>
      <c r="R415" s="31">
        <f>SUM($Q$36:Q415)</f>
        <v>-3800.8893743894682</v>
      </c>
      <c r="S415" s="83">
        <f>IF($L$2&lt;&gt;1,-(R415-$R$36)/B415*12/$Q$36,0)</f>
        <v>-0.17046198734126819</v>
      </c>
      <c r="T415" s="31">
        <f>SUMPRODUCT($Q$36:Q415,$E$36:E415)/E415-R415</f>
        <v>-6798.488425118052</v>
      </c>
      <c r="U415" s="31">
        <f t="shared" si="60"/>
        <v>7645.1401210539552</v>
      </c>
      <c r="V415" s="31">
        <f t="shared" si="61"/>
        <v>8240.5401210539549</v>
      </c>
      <c r="W415" s="80" cm="1">
        <f t="array" ref="W415">IF($L$2&lt;&gt;1,IRR(IF(ROW($Q$36:Q415)=ROW(Q415),Q415+L415-K415,$Q$36:Q415),W414/12)*12,0)</f>
        <v>5.1046077689044012E-2</v>
      </c>
      <c r="X415" s="83">
        <f>(1+W415/12)^(B415)-1</f>
        <v>3.9967412449718118</v>
      </c>
    </row>
    <row r="416" spans="2:24" x14ac:dyDescent="0.25">
      <c r="B416" s="33">
        <v>380</v>
      </c>
      <c r="C416" s="81">
        <f t="shared" si="57"/>
        <v>31.666666666666668</v>
      </c>
      <c r="D416" s="105">
        <f t="shared" si="58"/>
        <v>3.9789301544717048E-3</v>
      </c>
      <c r="E416" s="106">
        <f t="shared" si="62"/>
        <v>0.22113246762491778</v>
      </c>
      <c r="F416" s="60">
        <f>rate</f>
        <v>3.2737397821989145E-3</v>
      </c>
      <c r="G416" s="31">
        <f>IF(AND(B415&gt;=gracia,12*años+gracia-B415&gt;0,$L$2&lt;&gt;1),PMT(F415,12*años-B415+gracia,-K415),0)</f>
        <v>0</v>
      </c>
      <c r="H416" s="31">
        <f>IF(AND(12*años+gracia-B415&gt;0,$L$2&lt;&gt;1),K415*F416,0)</f>
        <v>0</v>
      </c>
      <c r="I416" s="31">
        <f>IF(AND(12*años+gracia-B415&gt;0,$L$2&lt;&gt;1),G416-H416,0)</f>
        <v>0</v>
      </c>
      <c r="J416" s="62"/>
      <c r="K416" s="61">
        <f t="shared" si="63"/>
        <v>-3.5527136788005009E-15</v>
      </c>
      <c r="L416" s="61">
        <f>L415*(1+$J$17)^(1/12)</f>
        <v>11474.258492000932</v>
      </c>
      <c r="M416" s="31">
        <f t="shared" si="64"/>
        <v>12</v>
      </c>
      <c r="N416" s="31">
        <f t="shared" si="65"/>
        <v>0</v>
      </c>
      <c r="O416" s="31">
        <f t="shared" si="66"/>
        <v>-2.25</v>
      </c>
      <c r="P416" s="62"/>
      <c r="Q416" s="31">
        <f t="shared" si="59"/>
        <v>9.75</v>
      </c>
      <c r="R416" s="31">
        <f>SUM($Q$36:Q416)</f>
        <v>-3791.1393743894682</v>
      </c>
      <c r="S416" s="83">
        <f>IF($L$2&lt;&gt;1,-(R416-$R$36)/B416*12/$Q$36,0)</f>
        <v>-0.16949628066347974</v>
      </c>
      <c r="T416" s="31">
        <f>SUMPRODUCT($Q$36:Q416,$E$36:E416)/E416-R416</f>
        <v>-6840.6626090631489</v>
      </c>
      <c r="U416" s="31">
        <f t="shared" si="60"/>
        <v>7683.1191176114644</v>
      </c>
      <c r="V416" s="31">
        <f t="shared" si="61"/>
        <v>8278.519117611464</v>
      </c>
      <c r="W416" s="80" cm="1">
        <f t="array" ref="W416">IF($L$2&lt;&gt;1,IRR(IF(ROW($Q$36:Q416)=ROW(Q416),Q416+L416-K416,$Q$36:Q416),W415/12)*12,0)</f>
        <v>5.1006381585706251E-2</v>
      </c>
      <c r="X416" s="83">
        <f>(1+W416/12)^(B416)-1</f>
        <v>4.0117193809471674</v>
      </c>
    </row>
    <row r="417" spans="2:24" x14ac:dyDescent="0.25">
      <c r="B417" s="33">
        <v>381</v>
      </c>
      <c r="C417" s="81">
        <f t="shared" si="57"/>
        <v>31.75</v>
      </c>
      <c r="D417" s="105">
        <f t="shared" si="58"/>
        <v>3.9789301544717048E-3</v>
      </c>
      <c r="E417" s="106">
        <f t="shared" si="62"/>
        <v>0.22025608405038385</v>
      </c>
      <c r="F417" s="60">
        <f>rate</f>
        <v>3.2737397821989145E-3</v>
      </c>
      <c r="G417" s="31">
        <f>IF(AND(B416&gt;=gracia,12*años+gracia-B416&gt;0,$L$2&lt;&gt;1),PMT(F416,12*años-B416+gracia,-K416),0)</f>
        <v>0</v>
      </c>
      <c r="H417" s="31">
        <f>IF(AND(12*años+gracia-B416&gt;0,$L$2&lt;&gt;1),K416*F417,0)</f>
        <v>0</v>
      </c>
      <c r="I417" s="31">
        <f>IF(AND(12*años+gracia-B416&gt;0,$L$2&lt;&gt;1),G417-H417,0)</f>
        <v>0</v>
      </c>
      <c r="J417" s="62"/>
      <c r="K417" s="61">
        <f t="shared" si="63"/>
        <v>-3.5527136788005009E-15</v>
      </c>
      <c r="L417" s="61">
        <f>L416*(1+$J$17)^(1/12)</f>
        <v>11502.557108879353</v>
      </c>
      <c r="M417" s="31">
        <f t="shared" si="64"/>
        <v>12</v>
      </c>
      <c r="N417" s="31">
        <f t="shared" si="65"/>
        <v>0</v>
      </c>
      <c r="O417" s="31">
        <f t="shared" si="66"/>
        <v>-2.25</v>
      </c>
      <c r="P417" s="62"/>
      <c r="Q417" s="31">
        <f t="shared" si="59"/>
        <v>9.75</v>
      </c>
      <c r="R417" s="31">
        <f>SUM($Q$36:Q417)</f>
        <v>-3781.3893743894682</v>
      </c>
      <c r="S417" s="83">
        <f>IF($L$2&lt;&gt;1,-(R417-$R$36)/B417*12/$Q$36,0)</f>
        <v>-0.1685356433120839</v>
      </c>
      <c r="T417" s="31">
        <f>SUMPRODUCT($Q$36:Q417,$E$36:E417)/E417-R417</f>
        <v>-6882.9658065714812</v>
      </c>
      <c r="U417" s="31">
        <f t="shared" si="60"/>
        <v>7721.1677344898853</v>
      </c>
      <c r="V417" s="31">
        <f t="shared" si="61"/>
        <v>8316.567734489885</v>
      </c>
      <c r="W417" s="80" cm="1">
        <f t="array" ref="W417">IF($L$2&lt;&gt;1,IRR(IF(ROW($Q$36:Q417)=ROW(Q417),Q417+L417-K417,$Q$36:Q417),W416/12)*12,0)</f>
        <v>5.0966905550684061E-2</v>
      </c>
      <c r="X417" s="83">
        <f>(1+W417/12)^(B417)-1</f>
        <v>4.0267442522732235</v>
      </c>
    </row>
    <row r="418" spans="2:24" x14ac:dyDescent="0.25">
      <c r="B418" s="33">
        <v>382</v>
      </c>
      <c r="C418" s="81">
        <f t="shared" si="57"/>
        <v>31.833333333333332</v>
      </c>
      <c r="D418" s="105">
        <f t="shared" si="58"/>
        <v>3.9789301544717048E-3</v>
      </c>
      <c r="E418" s="106">
        <f t="shared" si="62"/>
        <v>0.21938317372506549</v>
      </c>
      <c r="F418" s="60">
        <f>rate</f>
        <v>3.2737397821989145E-3</v>
      </c>
      <c r="G418" s="31">
        <f>IF(AND(B417&gt;=gracia,12*años+gracia-B417&gt;0,$L$2&lt;&gt;1),PMT(F417,12*años-B417+gracia,-K417),0)</f>
        <v>0</v>
      </c>
      <c r="H418" s="31">
        <f>IF(AND(12*años+gracia-B417&gt;0,$L$2&lt;&gt;1),K417*F418,0)</f>
        <v>0</v>
      </c>
      <c r="I418" s="31">
        <f>IF(AND(12*años+gracia-B417&gt;0,$L$2&lt;&gt;1),G418-H418,0)</f>
        <v>0</v>
      </c>
      <c r="J418" s="62"/>
      <c r="K418" s="61">
        <f t="shared" si="63"/>
        <v>-3.5527136788005009E-15</v>
      </c>
      <c r="L418" s="61">
        <f>L417*(1+$J$17)^(1/12)</f>
        <v>11530.925517781179</v>
      </c>
      <c r="M418" s="31">
        <f t="shared" si="64"/>
        <v>12</v>
      </c>
      <c r="N418" s="31">
        <f t="shared" si="65"/>
        <v>0</v>
      </c>
      <c r="O418" s="31">
        <f t="shared" si="66"/>
        <v>-2.25</v>
      </c>
      <c r="P418" s="62"/>
      <c r="Q418" s="31">
        <f t="shared" si="59"/>
        <v>9.75</v>
      </c>
      <c r="R418" s="31">
        <f>SUM($Q$36:Q418)</f>
        <v>-3771.6393743894682</v>
      </c>
      <c r="S418" s="83">
        <f>IF($L$2&lt;&gt;1,-(R418-$R$36)/B418*12/$Q$36,0)</f>
        <v>-0.16758003547561681</v>
      </c>
      <c r="T418" s="31">
        <f>SUMPRODUCT($Q$36:Q418,$E$36:E418)/E418-R418</f>
        <v>-6925.3985309790023</v>
      </c>
      <c r="U418" s="31">
        <f t="shared" si="60"/>
        <v>7759.2861433917114</v>
      </c>
      <c r="V418" s="31">
        <f t="shared" si="61"/>
        <v>8354.6861433917111</v>
      </c>
      <c r="W418" s="80" cm="1">
        <f t="array" ref="W418">IF($L$2&lt;&gt;1,IRR(IF(ROW($Q$36:Q418)=ROW(Q418),Q418+L418-K418,$Q$36:Q418),W417/12)*12,0)</f>
        <v>5.0927647274749965E-2</v>
      </c>
      <c r="X418" s="83">
        <f>(1+W418/12)^(B418)-1</f>
        <v>4.0418159173937385</v>
      </c>
    </row>
    <row r="419" spans="2:24" x14ac:dyDescent="0.25">
      <c r="B419" s="33">
        <v>383</v>
      </c>
      <c r="C419" s="81">
        <f t="shared" si="57"/>
        <v>31.916666666666668</v>
      </c>
      <c r="D419" s="105">
        <f t="shared" si="58"/>
        <v>3.9789301544717048E-3</v>
      </c>
      <c r="E419" s="106">
        <f t="shared" si="62"/>
        <v>0.21851372288391679</v>
      </c>
      <c r="F419" s="60">
        <f>rate</f>
        <v>3.2737397821989145E-3</v>
      </c>
      <c r="G419" s="31">
        <f>IF(AND(B418&gt;=gracia,12*años+gracia-B418&gt;0,$L$2&lt;&gt;1),PMT(F418,12*años-B418+gracia,-K418),0)</f>
        <v>0</v>
      </c>
      <c r="H419" s="31">
        <f>IF(AND(12*años+gracia-B418&gt;0,$L$2&lt;&gt;1),K418*F419,0)</f>
        <v>0</v>
      </c>
      <c r="I419" s="31">
        <f>IF(AND(12*años+gracia-B418&gt;0,$L$2&lt;&gt;1),G419-H419,0)</f>
        <v>0</v>
      </c>
      <c r="J419" s="62"/>
      <c r="K419" s="61">
        <f t="shared" si="63"/>
        <v>-3.5527136788005009E-15</v>
      </c>
      <c r="L419" s="61">
        <f>L418*(1+$J$17)^(1/12)</f>
        <v>11559.363890832368</v>
      </c>
      <c r="M419" s="31">
        <f t="shared" si="64"/>
        <v>12</v>
      </c>
      <c r="N419" s="31">
        <f t="shared" si="65"/>
        <v>0</v>
      </c>
      <c r="O419" s="31">
        <f t="shared" si="66"/>
        <v>-2.25</v>
      </c>
      <c r="P419" s="62"/>
      <c r="Q419" s="31">
        <f t="shared" si="59"/>
        <v>9.75</v>
      </c>
      <c r="R419" s="31">
        <f>SUM($Q$36:Q419)</f>
        <v>-3761.8893743894682</v>
      </c>
      <c r="S419" s="83">
        <f>IF($L$2&lt;&gt;1,-(R419-$R$36)/B419*12/$Q$36,0)</f>
        <v>-0.16662941775840021</v>
      </c>
      <c r="T419" s="31">
        <f>SUMPRODUCT($Q$36:Q419,$E$36:E419)/E419-R419</f>
        <v>-6967.9612976642002</v>
      </c>
      <c r="U419" s="31">
        <f t="shared" si="60"/>
        <v>7797.4745164429005</v>
      </c>
      <c r="V419" s="31">
        <f t="shared" si="61"/>
        <v>8392.8745164429001</v>
      </c>
      <c r="W419" s="80" cm="1">
        <f t="array" ref="W419">IF($L$2&lt;&gt;1,IRR(IF(ROW($Q$36:Q419)=ROW(Q419),Q419+L419-K419,$Q$36:Q419),W418/12)*12,0)</f>
        <v>5.0888604482937083E-2</v>
      </c>
      <c r="X419" s="83">
        <f>(1+W419/12)^(B419)-1</f>
        <v>4.0569344357730035</v>
      </c>
    </row>
    <row r="420" spans="2:24" x14ac:dyDescent="0.25">
      <c r="B420" s="33">
        <v>384</v>
      </c>
      <c r="C420" s="81">
        <f t="shared" si="57"/>
        <v>32</v>
      </c>
      <c r="D420" s="105">
        <f t="shared" si="58"/>
        <v>3.9789301544717048E-3</v>
      </c>
      <c r="E420" s="106">
        <f t="shared" si="62"/>
        <v>0.21764771781644499</v>
      </c>
      <c r="F420" s="60">
        <f>rate</f>
        <v>3.2737397821989145E-3</v>
      </c>
      <c r="G420" s="31">
        <f>IF(AND(B419&gt;=gracia,12*años+gracia-B419&gt;0,$L$2&lt;&gt;1),PMT(F419,12*años-B419+gracia,-K419),0)</f>
        <v>0</v>
      </c>
      <c r="H420" s="31">
        <f>IF(AND(12*años+gracia-B419&gt;0,$L$2&lt;&gt;1),K419*F420,0)</f>
        <v>0</v>
      </c>
      <c r="I420" s="31">
        <f>IF(AND(12*años+gracia-B419&gt;0,$L$2&lt;&gt;1),G420-H420,0)</f>
        <v>0</v>
      </c>
      <c r="J420" s="62"/>
      <c r="K420" s="61">
        <f t="shared" si="63"/>
        <v>-3.5527136788005009E-15</v>
      </c>
      <c r="L420" s="61">
        <f>L419*(1+$J$17)^(1/12)</f>
        <v>11587.872400583386</v>
      </c>
      <c r="M420" s="31">
        <f t="shared" si="64"/>
        <v>12</v>
      </c>
      <c r="N420" s="31">
        <f t="shared" si="65"/>
        <v>0</v>
      </c>
      <c r="O420" s="31">
        <f t="shared" si="66"/>
        <v>-2.25</v>
      </c>
      <c r="P420" s="62"/>
      <c r="Q420" s="31">
        <f t="shared" si="59"/>
        <v>9.75</v>
      </c>
      <c r="R420" s="31">
        <f>SUM($Q$36:Q420)</f>
        <v>-3752.1393743894682</v>
      </c>
      <c r="S420" s="83">
        <f>IF($L$2&lt;&gt;1,-(R420-$R$36)/B420*12/$Q$36,0)</f>
        <v>-0.16568375117512746</v>
      </c>
      <c r="T420" s="31">
        <f>SUMPRODUCT($Q$36:Q420,$E$36:E420)/E420-R420</f>
        <v>-7010.6546240562129</v>
      </c>
      <c r="U420" s="31">
        <f t="shared" si="60"/>
        <v>7835.7330261939187</v>
      </c>
      <c r="V420" s="31">
        <f t="shared" si="61"/>
        <v>8431.1330261939183</v>
      </c>
      <c r="W420" s="80" cm="1">
        <f t="array" ref="W420">IF($L$2&lt;&gt;1,IRR(IF(ROW($Q$36:Q420)=ROW(Q420),Q420+L420-K420,$Q$36:Q420),W419/12)*12,0)</f>
        <v>5.0849774933904968E-2</v>
      </c>
      <c r="X420" s="83">
        <f>(1+W420/12)^(B420)-1</f>
        <v>4.0720998678818203</v>
      </c>
    </row>
    <row r="421" spans="2:24" x14ac:dyDescent="0.25">
      <c r="B421" s="33">
        <v>385</v>
      </c>
      <c r="C421" s="81">
        <f t="shared" ref="C421:C424" si="67">B421/12</f>
        <v>32.083333333333336</v>
      </c>
      <c r="D421" s="105">
        <f t="shared" ref="D421:D424" si="68">(1+$E$3/360)^30-1-((1+$E$4)^(1/12)-1)</f>
        <v>3.9789301544717048E-3</v>
      </c>
      <c r="E421" s="106">
        <f t="shared" si="62"/>
        <v>0.21678514486649417</v>
      </c>
      <c r="F421" s="60">
        <f>rate</f>
        <v>3.2737397821989145E-3</v>
      </c>
      <c r="G421" s="31">
        <f>IF(AND(B420&gt;=gracia,12*años+gracia-B420&gt;0,$L$2&lt;&gt;1),PMT(F420,12*años-B420+gracia,-K420),0)</f>
        <v>0</v>
      </c>
      <c r="H421" s="31">
        <f>IF(AND(12*años+gracia-B420&gt;0,$L$2&lt;&gt;1),K420*F421,0)</f>
        <v>0</v>
      </c>
      <c r="I421" s="31">
        <f>IF(AND(12*años+gracia-B420&gt;0,$L$2&lt;&gt;1),G421-H421,0)</f>
        <v>0</v>
      </c>
      <c r="J421" s="62"/>
      <c r="K421" s="61">
        <f t="shared" si="63"/>
        <v>-3.5527136788005009E-15</v>
      </c>
      <c r="L421" s="61">
        <f>L420*(1+$J$17)^(1/12)</f>
        <v>11616.451220010258</v>
      </c>
      <c r="M421" s="31">
        <f t="shared" si="64"/>
        <v>12</v>
      </c>
      <c r="N421" s="31">
        <f t="shared" si="65"/>
        <v>0</v>
      </c>
      <c r="O421" s="31">
        <f t="shared" si="66"/>
        <v>-2.25</v>
      </c>
      <c r="P421" s="62"/>
      <c r="Q421" s="31">
        <f t="shared" ref="Q421:Q424" si="69">P421+O421+N421+M421-J421-G421</f>
        <v>9.75</v>
      </c>
      <c r="R421" s="31">
        <f>SUM($Q$36:Q421)</f>
        <v>-3742.3893743894682</v>
      </c>
      <c r="S421" s="83">
        <f>IF($L$2&lt;&gt;1,-(R421-$R$36)/B421*12/$Q$36,0)</f>
        <v>-0.16474299714553403</v>
      </c>
      <c r="T421" s="31">
        <f>SUMPRODUCT($Q$36:Q421,$E$36:E421)/E421-R421</f>
        <v>-7053.4790296429965</v>
      </c>
      <c r="U421" s="31">
        <f t="shared" ref="U421:U424" si="70">R421-K421+L421</f>
        <v>7874.0618456207903</v>
      </c>
      <c r="V421" s="31">
        <f t="shared" ref="V421:V424" si="71">IF($L$2&lt;&gt;1,U421+$E$30,U421)</f>
        <v>8469.46184562079</v>
      </c>
      <c r="W421" s="80" cm="1">
        <f t="array" ref="W421">IF($L$2&lt;&gt;1,IRR(IF(ROW($Q$36:Q421)=ROW(Q421),Q421+L421-K421,$Q$36:Q421),W420/12)*12,0)</f>
        <v>5.081115641931877E-2</v>
      </c>
      <c r="X421" s="83">
        <f>(1+W421/12)^(B421)-1</f>
        <v>4.087312275186207</v>
      </c>
    </row>
    <row r="422" spans="2:24" x14ac:dyDescent="0.25">
      <c r="B422" s="33">
        <v>386</v>
      </c>
      <c r="C422" s="81">
        <f t="shared" si="67"/>
        <v>32.166666666666664</v>
      </c>
      <c r="D422" s="105">
        <f t="shared" si="68"/>
        <v>3.9789301544717048E-3</v>
      </c>
      <c r="E422" s="106">
        <f t="shared" ref="E422:E424" si="72">E421/(1+D422)</f>
        <v>0.21592599043203001</v>
      </c>
      <c r="F422" s="60">
        <f>rate</f>
        <v>3.2737397821989145E-3</v>
      </c>
      <c r="G422" s="31">
        <f>IF(AND(B421&gt;=gracia,12*años+gracia-B421&gt;0,$L$2&lt;&gt;1),PMT(F421,12*años-B421+gracia,-K421),0)</f>
        <v>0</v>
      </c>
      <c r="H422" s="31">
        <f>IF(AND(12*años+gracia-B421&gt;0,$L$2&lt;&gt;1),K421*F422,0)</f>
        <v>0</v>
      </c>
      <c r="I422" s="31">
        <f>IF(AND(12*años+gracia-B421&gt;0,$L$2&lt;&gt;1),G422-H422,0)</f>
        <v>0</v>
      </c>
      <c r="J422" s="62"/>
      <c r="K422" s="61">
        <f t="shared" ref="K422:K424" si="73">K421-I422-J422</f>
        <v>-3.5527136788005009E-15</v>
      </c>
      <c r="L422" s="61">
        <f>L421*(1+$J$17)^(1/12)</f>
        <v>11645.10052251561</v>
      </c>
      <c r="M422" s="31">
        <f t="shared" ref="M422:M424" si="74">IF($L$2=3,$J$7*$J$16,0)</f>
        <v>12</v>
      </c>
      <c r="N422" s="31">
        <f t="shared" ref="N422:N424" si="75">-$J$28</f>
        <v>0</v>
      </c>
      <c r="O422" s="31">
        <f t="shared" ref="O422:O424" si="76">IF($L$2&lt;&gt;1,-$E$17-$E$18,0)</f>
        <v>-2.25</v>
      </c>
      <c r="P422" s="62"/>
      <c r="Q422" s="31">
        <f t="shared" si="69"/>
        <v>9.75</v>
      </c>
      <c r="R422" s="31">
        <f>SUM($Q$36:Q422)</f>
        <v>-3732.6393743894682</v>
      </c>
      <c r="S422" s="83">
        <f>IF($L$2&lt;&gt;1,-(R422-$R$36)/B422*12/$Q$36,0)</f>
        <v>-0.16380711748915094</v>
      </c>
      <c r="T422" s="31">
        <f>SUMPRODUCT($Q$36:Q422,$E$36:E422)/E422-R422</f>
        <v>-7096.435035979508</v>
      </c>
      <c r="U422" s="31">
        <f t="shared" si="70"/>
        <v>7912.4611481261418</v>
      </c>
      <c r="V422" s="31">
        <f t="shared" si="71"/>
        <v>8507.8611481261414</v>
      </c>
      <c r="W422" s="80" cm="1">
        <f t="array" ref="W422">IF($L$2&lt;&gt;1,IRR(IF(ROW($Q$36:Q422)=ROW(Q422),Q422+L422-K422,$Q$36:Q422),W421/12)*12,0)</f>
        <v>5.0772746763228405E-2</v>
      </c>
      <c r="X422" s="83">
        <f>(1+W422/12)^(B422)-1</f>
        <v>4.1025717201323753</v>
      </c>
    </row>
    <row r="423" spans="2:24" x14ac:dyDescent="0.25">
      <c r="B423" s="33">
        <v>387</v>
      </c>
      <c r="C423" s="81">
        <f t="shared" si="67"/>
        <v>32.25</v>
      </c>
      <c r="D423" s="105">
        <f t="shared" si="68"/>
        <v>3.9789301544717048E-3</v>
      </c>
      <c r="E423" s="106">
        <f t="shared" si="72"/>
        <v>0.21507024096492516</v>
      </c>
      <c r="F423" s="60">
        <f>rate</f>
        <v>3.2737397821989145E-3</v>
      </c>
      <c r="G423" s="31">
        <f>IF(AND(B422&gt;=gracia,12*años+gracia-B422&gt;0,$L$2&lt;&gt;1),PMT(F422,12*años-B422+gracia,-K422),0)</f>
        <v>0</v>
      </c>
      <c r="H423" s="31">
        <f>IF(AND(12*años+gracia-B422&gt;0,$L$2&lt;&gt;1),K422*F423,0)</f>
        <v>0</v>
      </c>
      <c r="I423" s="31">
        <f>IF(AND(12*años+gracia-B422&gt;0,$L$2&lt;&gt;1),G423-H423,0)</f>
        <v>0</v>
      </c>
      <c r="J423" s="62"/>
      <c r="K423" s="61">
        <f t="shared" si="73"/>
        <v>-3.5527136788005009E-15</v>
      </c>
      <c r="L423" s="61">
        <f>L422*(1+$J$17)^(1/12)</f>
        <v>11673.820481929728</v>
      </c>
      <c r="M423" s="31">
        <f t="shared" si="74"/>
        <v>12</v>
      </c>
      <c r="N423" s="31">
        <f t="shared" si="75"/>
        <v>0</v>
      </c>
      <c r="O423" s="31">
        <f t="shared" si="76"/>
        <v>-2.25</v>
      </c>
      <c r="P423" s="62"/>
      <c r="Q423" s="31">
        <f t="shared" si="69"/>
        <v>9.75</v>
      </c>
      <c r="R423" s="31">
        <f>SUM($Q$36:Q423)</f>
        <v>-3722.8893743894682</v>
      </c>
      <c r="S423" s="83">
        <f>IF($L$2&lt;&gt;1,-(R423-$R$36)/B423*12/$Q$36,0)</f>
        <v>-0.16287607442013932</v>
      </c>
      <c r="T423" s="31">
        <f>SUMPRODUCT($Q$36:Q423,$E$36:E423)/E423-R423</f>
        <v>-7139.5231666959444</v>
      </c>
      <c r="U423" s="31">
        <f t="shared" si="70"/>
        <v>7950.9311075402602</v>
      </c>
      <c r="V423" s="31">
        <f t="shared" si="71"/>
        <v>8546.3311075402598</v>
      </c>
      <c r="W423" s="80" cm="1">
        <f t="array" ref="W423">IF($L$2&lt;&gt;1,IRR(IF(ROW($Q$36:Q423)=ROW(Q423),Q423+L423-K423,$Q$36:Q423),W422/12)*12,0)</f>
        <v>5.0734543821498335E-2</v>
      </c>
      <c r="X423" s="83">
        <f>(1+W423/12)^(B423)-1</f>
        <v>4.1178782661384847</v>
      </c>
    </row>
    <row r="424" spans="2:24" x14ac:dyDescent="0.25">
      <c r="B424" s="33">
        <v>388</v>
      </c>
      <c r="C424" s="81">
        <f t="shared" si="67"/>
        <v>32.333333333333336</v>
      </c>
      <c r="D424" s="105">
        <f t="shared" si="68"/>
        <v>3.9789301544717048E-3</v>
      </c>
      <c r="E424" s="106">
        <f t="shared" si="72"/>
        <v>0.21421788297074576</v>
      </c>
      <c r="F424" s="60">
        <f>rate</f>
        <v>3.2737397821989145E-3</v>
      </c>
      <c r="G424" s="31">
        <f>IF(AND(B423&gt;=gracia,12*años+gracia-B423&gt;0,$L$2&lt;&gt;1),PMT(F423,12*años-B423+gracia,-K423),0)</f>
        <v>0</v>
      </c>
      <c r="H424" s="31">
        <f>IF(AND(12*años+gracia-B423&gt;0,$L$2&lt;&gt;1),K423*F424,0)</f>
        <v>0</v>
      </c>
      <c r="I424" s="31">
        <f>IF(AND(12*años+gracia-B423&gt;0,$L$2&lt;&gt;1),G424-H424,0)</f>
        <v>0</v>
      </c>
      <c r="J424" s="62"/>
      <c r="K424" s="61">
        <f t="shared" si="73"/>
        <v>-3.5527136788005009E-15</v>
      </c>
      <c r="L424" s="61">
        <f>L423*(1+$J$17)^(1/12)</f>
        <v>11702.611272511611</v>
      </c>
      <c r="M424" s="31">
        <f t="shared" si="74"/>
        <v>12</v>
      </c>
      <c r="N424" s="31">
        <f t="shared" si="75"/>
        <v>0</v>
      </c>
      <c r="O424" s="31">
        <f t="shared" si="76"/>
        <v>-2.25</v>
      </c>
      <c r="P424" s="62"/>
      <c r="Q424" s="31">
        <f t="shared" si="69"/>
        <v>9.75</v>
      </c>
      <c r="R424" s="31">
        <f>SUM($Q$36:Q424)</f>
        <v>-3713.1393743894682</v>
      </c>
      <c r="S424" s="83">
        <f>IF($L$2&lt;&gt;1,-(R424-$R$36)/B424*12/$Q$36,0)</f>
        <v>-0.1619498305422051</v>
      </c>
      <c r="T424" s="31">
        <f>SUMPRODUCT($Q$36:Q424,$E$36:E424)/E424-R424</f>
        <v>-7182.74394750598</v>
      </c>
      <c r="U424" s="31">
        <f t="shared" si="70"/>
        <v>7989.4718981221431</v>
      </c>
      <c r="V424" s="31">
        <f t="shared" si="71"/>
        <v>8584.8718981221427</v>
      </c>
      <c r="W424" s="80" cm="1">
        <f t="array" ref="W424">IF($L$2&lt;&gt;1,IRR(IF(ROW($Q$36:Q424)=ROW(Q424),Q424+L424-K424,$Q$36:Q424),W423/12)*12,0)</f>
        <v>5.0696545481194732E-2</v>
      </c>
      <c r="X424" s="83">
        <f>(1+W424/12)^(B424)-1</f>
        <v>4.1332319775771538</v>
      </c>
    </row>
    <row r="425" spans="2:24" x14ac:dyDescent="0.25">
      <c r="K425" s="61"/>
      <c r="L425" s="61"/>
    </row>
    <row r="426" spans="2:24" x14ac:dyDescent="0.25">
      <c r="J426" s="61"/>
      <c r="K426" s="61"/>
      <c r="L426" s="61"/>
    </row>
    <row r="427" spans="2:24" x14ac:dyDescent="0.25">
      <c r="J427" s="61"/>
      <c r="K427" s="61"/>
      <c r="L427" s="61"/>
    </row>
    <row r="428" spans="2:24" x14ac:dyDescent="0.25">
      <c r="J428" s="61"/>
      <c r="K428" s="61"/>
      <c r="L428" s="61"/>
    </row>
  </sheetData>
  <mergeCells count="6">
    <mergeCell ref="D34:F34"/>
    <mergeCell ref="J2:K2"/>
    <mergeCell ref="G34:K34"/>
    <mergeCell ref="L34:P34"/>
    <mergeCell ref="Q34:T34"/>
    <mergeCell ref="U34:X34"/>
  </mergeCells>
  <dataValidations count="7">
    <dataValidation type="list" allowBlank="1" showInputMessage="1" showErrorMessage="1" sqref="C10:D10" xr:uid="{93B86EE0-2E21-4671-BE8A-FDEA0D0BF187}">
      <formula1>"Tasa Mensual,Tasa Anual"</formula1>
    </dataValidation>
    <dataValidation type="list" allowBlank="1" showInputMessage="1" showErrorMessage="1" sqref="B28" xr:uid="{3EB4DF19-079D-4B8C-8981-F95EE1909FFC}">
      <formula1>"Comision 2%, Comision 1%, Sin Comision"</formula1>
    </dataValidation>
    <dataValidation type="list" allowBlank="1" showInputMessage="1" showErrorMessage="1" sqref="J22" xr:uid="{55A43E37-1EA5-4AEF-AEAE-CEC1B4F68BB8}">
      <formula1>"Casa,Departamento"</formula1>
    </dataValidation>
    <dataValidation type="list" allowBlank="1" showInputMessage="1" showErrorMessage="1" sqref="J23:J24" xr:uid="{DF0D593D-19C6-4B3F-864D-A22500711275}">
      <formula1>"TRUE,FALSE"</formula1>
    </dataValidation>
    <dataValidation type="list" allowBlank="1" showInputMessage="1" showErrorMessage="1" sqref="B10" xr:uid="{960A626E-A348-4699-9AEA-D1D8C6D78358}">
      <formula1>"Tasa Mensual Compuesta Anualizada,Tasa Anual Lineal, Tasa Anual Comp"</formula1>
    </dataValidation>
    <dataValidation type="list" allowBlank="1" showInputMessage="1" showErrorMessage="1" sqref="B21" xr:uid="{E4C1CC1C-CB4D-4522-B3E4-808BBDADB7BA}">
      <formula1>"Gastos Operacionales Totales,Sin Gastos"</formula1>
    </dataValidation>
    <dataValidation type="list" allowBlank="1" showInputMessage="1" showErrorMessage="1" sqref="J2" xr:uid="{5BE843C0-DB3D-4BCF-AA57-9E0101C9C234}">
      <formula1>"Arrendatario,Comprador,Arrendador"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7BC2-BD20-4B97-ABF8-C373ACC4C2DF}">
  <dimension ref="Y5:AB29"/>
  <sheetViews>
    <sheetView showGridLines="0" topLeftCell="O1" workbookViewId="0">
      <selection activeCell="W3" sqref="W3:AB7"/>
    </sheetView>
  </sheetViews>
  <sheetFormatPr defaultRowHeight="15" x14ac:dyDescent="0.25"/>
  <sheetData>
    <row r="5" spans="25:28" x14ac:dyDescent="0.25">
      <c r="Y5" s="81"/>
      <c r="AB5" s="81"/>
    </row>
    <row r="6" spans="25:28" x14ac:dyDescent="0.25">
      <c r="Y6" s="81"/>
      <c r="AA6" s="81"/>
    </row>
    <row r="7" spans="25:28" x14ac:dyDescent="0.25">
      <c r="Y7" s="81"/>
      <c r="AA7" s="81"/>
    </row>
    <row r="8" spans="25:28" x14ac:dyDescent="0.25">
      <c r="Y8" s="81"/>
      <c r="AA8" s="81"/>
    </row>
    <row r="9" spans="25:28" x14ac:dyDescent="0.25">
      <c r="Y9" s="81"/>
      <c r="AA9" s="81"/>
    </row>
    <row r="10" spans="25:28" x14ac:dyDescent="0.25">
      <c r="Y10" s="81"/>
      <c r="AA10" s="81"/>
    </row>
    <row r="11" spans="25:28" x14ac:dyDescent="0.25">
      <c r="Y11" s="81"/>
      <c r="AA11" s="81"/>
    </row>
    <row r="12" spans="25:28" x14ac:dyDescent="0.25">
      <c r="Y12" s="81"/>
      <c r="AA12" s="81"/>
    </row>
    <row r="13" spans="25:28" x14ac:dyDescent="0.25">
      <c r="Y13" s="81"/>
      <c r="AA13" s="81"/>
    </row>
    <row r="14" spans="25:28" x14ac:dyDescent="0.25">
      <c r="Y14" s="81"/>
      <c r="AA14" s="81"/>
    </row>
    <row r="15" spans="25:28" x14ac:dyDescent="0.25">
      <c r="Y15" s="81"/>
      <c r="AA15" s="81"/>
    </row>
    <row r="16" spans="25:28" x14ac:dyDescent="0.25">
      <c r="Y16" s="81"/>
    </row>
    <row r="17" spans="25:25" x14ac:dyDescent="0.25">
      <c r="Y17" s="81"/>
    </row>
    <row r="18" spans="25:25" x14ac:dyDescent="0.25">
      <c r="Y18" s="81"/>
    </row>
    <row r="19" spans="25:25" x14ac:dyDescent="0.25">
      <c r="Y19" s="81"/>
    </row>
    <row r="20" spans="25:25" x14ac:dyDescent="0.25">
      <c r="Y20" s="81"/>
    </row>
    <row r="21" spans="25:25" x14ac:dyDescent="0.25">
      <c r="Y21" s="81"/>
    </row>
    <row r="22" spans="25:25" x14ac:dyDescent="0.25">
      <c r="Y22" s="81"/>
    </row>
    <row r="23" spans="25:25" x14ac:dyDescent="0.25">
      <c r="Y23" s="81"/>
    </row>
    <row r="24" spans="25:25" x14ac:dyDescent="0.25">
      <c r="Y24" s="81"/>
    </row>
    <row r="25" spans="25:25" x14ac:dyDescent="0.25">
      <c r="Y25" s="81"/>
    </row>
    <row r="26" spans="25:25" x14ac:dyDescent="0.25">
      <c r="Y26" s="81"/>
    </row>
    <row r="27" spans="25:25" x14ac:dyDescent="0.25">
      <c r="Y27" s="81"/>
    </row>
    <row r="28" spans="25:25" x14ac:dyDescent="0.25">
      <c r="Y28" s="81"/>
    </row>
    <row r="29" spans="25:25" x14ac:dyDescent="0.25">
      <c r="Y29" s="8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Simulación</vt:lpstr>
      <vt:lpstr>Notes</vt:lpstr>
      <vt:lpstr>años</vt:lpstr>
      <vt:lpstr>gracia</vt:lpstr>
      <vt:lpstr>P0</vt:lpstr>
      <vt:lpstr>pie</vt:lpstr>
      <vt:lpstr>plusvalia</vt:lpstr>
      <vt:lpstr>rate</vt:lpstr>
      <vt:lpstr>valor_compra</vt:lpstr>
    </vt:vector>
  </TitlesOfParts>
  <Company>Banco Santander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Cubillos Cabrera</dc:creator>
  <cp:lastModifiedBy>Matías Cubillos</cp:lastModifiedBy>
  <dcterms:created xsi:type="dcterms:W3CDTF">2024-05-15T12:56:44Z</dcterms:created>
  <dcterms:modified xsi:type="dcterms:W3CDTF">2024-09-20T19:10:13Z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2024-05-15T15:23:07Z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a04748e5-bb16-4c5d-bd61-06a85971bb12</vt:lpwstr>
  </property>
  <property fmtid="{D5CDD505-2E9C-101B-9397-08002B2CF9AE}" pid="8" name="MSIP_Label_0c2abd79-57a9-4473-8700-c843f76a1e37_ContentBits">
    <vt:lpwstr>0</vt:lpwstr>
  </property>
</Properties>
</file>