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78114092a567ee/Projects/2022/Potential Tenders/ALK Models/Administration/"/>
    </mc:Choice>
  </mc:AlternateContent>
  <xr:revisionPtr revIDLastSave="1" documentId="8_{72F3E801-A4EF-4657-9FD6-5960FBC76941}" xr6:coauthVersionLast="47" xr6:coauthVersionMax="47" xr10:uidLastSave="{6BA5B976-8DBC-45A4-9D6B-EC49BD35B085}"/>
  <bookViews>
    <workbookView xWindow="31695" yWindow="1875" windowWidth="21600" windowHeight="12645" tabRatio="500" xr2:uid="{00000000-000D-0000-FFFF-FFFF00000000}"/>
  </bookViews>
  <sheets>
    <sheet name="Final" sheetId="1" r:id="rId1"/>
    <sheet name="Proposal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" i="1" l="1"/>
  <c r="P9" i="1"/>
  <c r="P10" i="1"/>
  <c r="L10" i="1"/>
  <c r="M9" i="1"/>
  <c r="M10" i="1"/>
  <c r="I10" i="1"/>
  <c r="J9" i="1"/>
  <c r="E27" i="2"/>
  <c r="R21" i="2"/>
  <c r="O21" i="2"/>
  <c r="L21" i="2"/>
  <c r="I21" i="2"/>
  <c r="F21" i="2"/>
  <c r="R20" i="2"/>
  <c r="O20" i="2"/>
  <c r="L20" i="2"/>
  <c r="I20" i="2"/>
  <c r="F20" i="2"/>
  <c r="R19" i="2"/>
  <c r="O19" i="2"/>
  <c r="L19" i="2"/>
  <c r="I19" i="2"/>
  <c r="F19" i="2"/>
  <c r="Q16" i="2"/>
  <c r="O16" i="2"/>
  <c r="N16" i="2"/>
  <c r="N17" i="2" s="1"/>
  <c r="K16" i="2"/>
  <c r="K17" i="2" s="1"/>
  <c r="I16" i="2"/>
  <c r="I17" i="2" s="1"/>
  <c r="H16" i="2"/>
  <c r="H17" i="2" s="1"/>
  <c r="R15" i="2"/>
  <c r="O15" i="2"/>
  <c r="L15" i="2"/>
  <c r="I15" i="2"/>
  <c r="F15" i="2"/>
  <c r="R14" i="2"/>
  <c r="O14" i="2"/>
  <c r="L14" i="2"/>
  <c r="I14" i="2"/>
  <c r="F14" i="2"/>
  <c r="R13" i="2"/>
  <c r="O13" i="2"/>
  <c r="L13" i="2"/>
  <c r="I13" i="2"/>
  <c r="F13" i="2"/>
  <c r="R12" i="2"/>
  <c r="R16" i="2" s="1"/>
  <c r="O12" i="2"/>
  <c r="L12" i="2"/>
  <c r="L16" i="2" s="1"/>
  <c r="I12" i="2"/>
  <c r="F12" i="2"/>
  <c r="F16" i="2" s="1"/>
  <c r="Q11" i="2"/>
  <c r="Q17" i="2" s="1"/>
  <c r="N11" i="2"/>
  <c r="K11" i="2"/>
  <c r="I11" i="2"/>
  <c r="H11" i="2"/>
  <c r="R10" i="2"/>
  <c r="R11" i="2" s="1"/>
  <c r="O10" i="2"/>
  <c r="O11" i="2" s="1"/>
  <c r="L10" i="2"/>
  <c r="F10" i="2" s="1"/>
  <c r="F11" i="2" s="1"/>
  <c r="I10" i="2"/>
  <c r="R9" i="2"/>
  <c r="O9" i="2"/>
  <c r="L9" i="2"/>
  <c r="I9" i="2"/>
  <c r="F9" i="2"/>
  <c r="Q8" i="2"/>
  <c r="N8" i="2"/>
  <c r="K8" i="2"/>
  <c r="H8" i="2"/>
  <c r="R7" i="2"/>
  <c r="O7" i="2"/>
  <c r="L7" i="2"/>
  <c r="I7" i="2"/>
  <c r="F7" i="2"/>
  <c r="R6" i="2"/>
  <c r="O6" i="2"/>
  <c r="L6" i="2"/>
  <c r="I6" i="2"/>
  <c r="F6" i="2"/>
  <c r="R5" i="2"/>
  <c r="O5" i="2"/>
  <c r="O8" i="2" s="1"/>
  <c r="L5" i="2"/>
  <c r="L8" i="2" s="1"/>
  <c r="I5" i="2"/>
  <c r="I8" i="2" s="1"/>
  <c r="F5" i="2"/>
  <c r="R4" i="2"/>
  <c r="F4" i="2" s="1"/>
  <c r="F8" i="2" s="1"/>
  <c r="O4" i="2"/>
  <c r="L4" i="2"/>
  <c r="I4" i="2"/>
  <c r="R3" i="2"/>
  <c r="O3" i="2"/>
  <c r="L3" i="2"/>
  <c r="I3" i="2"/>
  <c r="F3" i="2"/>
  <c r="P8" i="1"/>
  <c r="M8" i="1"/>
  <c r="J8" i="1"/>
  <c r="G8" i="1" s="1"/>
  <c r="P7" i="1"/>
  <c r="G7" i="1" s="1"/>
  <c r="M7" i="1"/>
  <c r="J7" i="1"/>
  <c r="P6" i="1"/>
  <c r="M6" i="1"/>
  <c r="J6" i="1"/>
  <c r="G6" i="1" s="1"/>
  <c r="P5" i="1"/>
  <c r="M5" i="1"/>
  <c r="J5" i="1"/>
  <c r="J10" i="1" s="1"/>
  <c r="P4" i="1"/>
  <c r="M4" i="1"/>
  <c r="J4" i="1"/>
  <c r="G4" i="1" s="1"/>
  <c r="P3" i="1"/>
  <c r="M3" i="1"/>
  <c r="J3" i="1"/>
  <c r="G3" i="1" s="1"/>
  <c r="G9" i="1" l="1"/>
  <c r="G10" i="1"/>
  <c r="G12" i="1" s="1"/>
  <c r="G5" i="1"/>
  <c r="O17" i="2"/>
  <c r="H23" i="2"/>
  <c r="L17" i="2"/>
  <c r="R17" i="2"/>
  <c r="F17" i="2"/>
  <c r="L11" i="2"/>
  <c r="R8" i="2"/>
  <c r="F29" i="2" l="1"/>
  <c r="F27" i="2"/>
  <c r="F26" i="2"/>
  <c r="H24" i="2"/>
</calcChain>
</file>

<file path=xl/sharedStrings.xml><?xml version="1.0" encoding="utf-8"?>
<sst xmlns="http://schemas.openxmlformats.org/spreadsheetml/2006/main" count="73" uniqueCount="46">
  <si>
    <t>Sophie</t>
  </si>
  <si>
    <t>Alistair</t>
  </si>
  <si>
    <t>Darcy</t>
  </si>
  <si>
    <t>Milestone</t>
  </si>
  <si>
    <t>Objective</t>
  </si>
  <si>
    <t>Reporting requirement</t>
  </si>
  <si>
    <t>Milestone description</t>
  </si>
  <si>
    <t>Due date</t>
  </si>
  <si>
    <t>Fixed price</t>
  </si>
  <si>
    <t>Days</t>
  </si>
  <si>
    <t>$$</t>
  </si>
  <si>
    <t>Update standard and implement categorical modelling approaches to estimate scaled length and age frequencies</t>
  </si>
  <si>
    <t>Evaluate, via simulation, the relative accuracy and effectiveness of different methods</t>
  </si>
  <si>
    <t>Submit a draft FAR (as per Reporting Form 6) to MPI</t>
  </si>
  <si>
    <t>Present methods and results to the FNZ Statistics, Assessments, and Methods Working Group (SAMWG)</t>
  </si>
  <si>
    <t>Submit a final FAR (as per Reporting Form 6) to MPI</t>
  </si>
  <si>
    <t>TOTAL</t>
  </si>
  <si>
    <t>Adam?</t>
  </si>
  <si>
    <t>Complete initial engagement with FNZ on project</t>
  </si>
  <si>
    <t>Extract &amp; groom data and complete the fisheries characterisation</t>
  </si>
  <si>
    <t>Undertake the spatial temporal-modelling</t>
  </si>
  <si>
    <t xml:space="preserve"> Complete CPUE analyses</t>
  </si>
  <si>
    <t>Present the characterisation, CPUE indices and any other relevant analyses to the Deepwater Fisheries Assessment Working Group</t>
  </si>
  <si>
    <t>Sub-total (invoice INV-00xx)</t>
  </si>
  <si>
    <t>Complete the CASAL assessment modelling</t>
  </si>
  <si>
    <t>Present the assessment results and any other relevant analyses to the Deepwater Fisheries Assessment Working Group</t>
  </si>
  <si>
    <t>1 &amp; 2</t>
  </si>
  <si>
    <t>Submit a draft revised Working Group Report to the Ministry for Primary Industries</t>
  </si>
  <si>
    <t>Submit Fisheries Assessment Report to the Ministry for Primary Industries. Milestone payment on approval of FAR by MPI; provide relevant stock assessment inputs and outputs to the RAM Legacy database project</t>
  </si>
  <si>
    <t>Submit data and code through the Research Data Manager as per Data Management Plan</t>
  </si>
  <si>
    <t>Final</t>
  </si>
  <si>
    <t>Acceptance of submitted data through the Research Data Manager as per Data Management Plan.</t>
  </si>
  <si>
    <t>EXCEPTIONS AND DEVIATIONS</t>
  </si>
  <si>
    <t>MS1: Revise length-weight and growth parameters</t>
  </si>
  <si>
    <t>28/02/202</t>
  </si>
  <si>
    <t>MS2: Age ratio-logit GAMs</t>
  </si>
  <si>
    <t>MS2: Complete Stan modelling</t>
  </si>
  <si>
    <t>MS1 %</t>
  </si>
  <si>
    <t>MS2 %</t>
  </si>
  <si>
    <t>FNZ BUDGET</t>
  </si>
  <si>
    <t>FNZ BUDGET + 10%</t>
  </si>
  <si>
    <t>Percent data submission</t>
  </si>
  <si>
    <t>%</t>
  </si>
  <si>
    <t>Submit data to the Fisheries New Zealand data management team</t>
  </si>
  <si>
    <t>Data percentage</t>
  </si>
  <si>
    <t>Apply the methods to case study examples (e.g., Chatham Rise &amp; sub-Antarctic ling, and west coast South Island and sub-Antarctic hake) and compare the outcomes on the resulting length and age-frequencies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</si>
</sst>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$#,##0"/>
    <numFmt numFmtId="166" formatCode="0.0%"/>
    <numFmt numFmtId="167" formatCode="#,##0.0"/>
    <numFmt numFmtId="168" formatCode="\$#,##0.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DAE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Border="0" applyProtection="0"/>
  </cellStyleXfs>
  <cellXfs count="52">
    <xf numFmtId="0" fontId="0" fillId="0" borderId="0" xfId="0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top"/>
    </xf>
    <xf numFmtId="0" fontId="0" fillId="2" borderId="0" xfId="0" applyFont="1" applyFill="1" applyAlignment="1">
      <alignment horizontal="right" vertical="top"/>
    </xf>
    <xf numFmtId="165" fontId="0" fillId="2" borderId="0" xfId="0" applyNumberFormat="1" applyFont="1" applyFill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14" fontId="0" fillId="3" borderId="0" xfId="0" applyNumberFormat="1" applyFont="1" applyFill="1" applyAlignment="1">
      <alignment horizontal="center" vertical="top"/>
    </xf>
    <xf numFmtId="0" fontId="0" fillId="3" borderId="0" xfId="0" applyFont="1" applyFill="1" applyAlignment="1">
      <alignment horizontal="right"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ont="1" applyFill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165" fontId="0" fillId="0" borderId="0" xfId="0" applyNumberFormat="1" applyFont="1" applyBorder="1" applyAlignment="1">
      <alignment horizontal="right" vertical="center"/>
    </xf>
    <xf numFmtId="166" fontId="0" fillId="0" borderId="0" xfId="0" applyNumberFormat="1" applyFont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165" fontId="0" fillId="2" borderId="0" xfId="0" applyNumberFormat="1" applyFont="1" applyFill="1" applyAlignment="1">
      <alignment horizontal="right" vertical="center"/>
    </xf>
    <xf numFmtId="165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top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14" fontId="2" fillId="3" borderId="0" xfId="0" applyNumberFormat="1" applyFont="1" applyFill="1" applyBorder="1" applyAlignment="1">
      <alignment horizontal="center" vertical="top"/>
    </xf>
    <xf numFmtId="165" fontId="3" fillId="3" borderId="0" xfId="0" applyNumberFormat="1" applyFont="1" applyFill="1" applyBorder="1" applyAlignment="1">
      <alignment horizontal="right" vertical="top"/>
    </xf>
    <xf numFmtId="167" fontId="3" fillId="3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vertical="top"/>
    </xf>
    <xf numFmtId="15" fontId="0" fillId="4" borderId="0" xfId="0" applyNumberFormat="1" applyFill="1" applyAlignment="1">
      <alignment horizontal="center" vertical="center"/>
    </xf>
    <xf numFmtId="165" fontId="0" fillId="4" borderId="0" xfId="0" applyNumberFormat="1" applyFont="1" applyFill="1" applyBorder="1" applyAlignment="1">
      <alignment horizontal="right" vertical="center"/>
    </xf>
    <xf numFmtId="164" fontId="0" fillId="4" borderId="0" xfId="0" applyNumberFormat="1" applyFill="1" applyAlignment="1">
      <alignment horizontal="right" vertical="center"/>
    </xf>
    <xf numFmtId="165" fontId="0" fillId="4" borderId="0" xfId="0" applyNumberFormat="1" applyFill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center"/>
    </xf>
    <xf numFmtId="9" fontId="0" fillId="0" borderId="0" xfId="1" applyFont="1" applyBorder="1" applyAlignment="1" applyProtection="1">
      <alignment vertical="top"/>
    </xf>
    <xf numFmtId="165" fontId="0" fillId="0" borderId="0" xfId="0" applyNumberFormat="1" applyFont="1" applyAlignment="1">
      <alignment vertical="top"/>
    </xf>
    <xf numFmtId="168" fontId="0" fillId="0" borderId="0" xfId="0" applyNumberFormat="1" applyFont="1" applyAlignment="1">
      <alignment vertical="top"/>
    </xf>
    <xf numFmtId="14" fontId="0" fillId="0" borderId="0" xfId="0" applyNumberFormat="1" applyFont="1" applyAlignment="1">
      <alignment horizontal="right" vertical="top"/>
    </xf>
    <xf numFmtId="2" fontId="0" fillId="0" borderId="0" xfId="0" applyNumberFormat="1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/>
    </xf>
    <xf numFmtId="166" fontId="4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"/>
  <sheetViews>
    <sheetView tabSelected="1" zoomScaleNormal="100" workbookViewId="0">
      <selection activeCell="G7" sqref="G7"/>
    </sheetView>
  </sheetViews>
  <sheetFormatPr defaultColWidth="9.140625" defaultRowHeight="15" x14ac:dyDescent="0.25"/>
  <cols>
    <col min="1" max="1" width="11.140625" style="1" customWidth="1"/>
    <col min="2" max="2" width="10" style="1" customWidth="1"/>
    <col min="3" max="3" width="12.42578125" style="1" hidden="1" customWidth="1"/>
    <col min="4" max="4" width="12.42578125" style="1" customWidth="1"/>
    <col min="5" max="5" width="65.7109375" style="2" customWidth="1"/>
    <col min="6" max="6" width="12.5703125" style="3" customWidth="1"/>
    <col min="7" max="7" width="11.5703125" style="2" customWidth="1"/>
    <col min="8" max="8" width="0.85546875" style="2" customWidth="1"/>
    <col min="9" max="9" width="9.140625" style="4"/>
    <col min="10" max="10" width="10.140625" style="2" customWidth="1"/>
    <col min="11" max="11" width="0.85546875" style="2" customWidth="1"/>
    <col min="12" max="12" width="9.140625" style="4"/>
    <col min="13" max="13" width="10.140625" style="2" customWidth="1"/>
    <col min="14" max="14" width="0.85546875" style="2" customWidth="1"/>
    <col min="15" max="15" width="11" style="2" customWidth="1"/>
    <col min="16" max="16" width="9.140625" style="2"/>
    <col min="17" max="17" width="0.85546875" style="5" customWidth="1"/>
    <col min="18" max="1024" width="9.140625" style="2"/>
  </cols>
  <sheetData>
    <row r="1" spans="1:17" x14ac:dyDescent="0.25">
      <c r="G1" s="6"/>
      <c r="H1" s="6"/>
      <c r="I1" s="7" t="s">
        <v>0</v>
      </c>
      <c r="J1" s="8">
        <v>1400</v>
      </c>
      <c r="K1" s="9"/>
      <c r="L1" s="7" t="s">
        <v>1</v>
      </c>
      <c r="M1" s="8">
        <v>1560</v>
      </c>
      <c r="N1" s="6"/>
      <c r="O1" s="7" t="s">
        <v>2</v>
      </c>
      <c r="P1" s="8">
        <v>1400</v>
      </c>
    </row>
    <row r="2" spans="1:17" s="18" customFormat="1" ht="30.75" customHeight="1" x14ac:dyDescent="0.25">
      <c r="A2" s="10" t="s">
        <v>3</v>
      </c>
      <c r="B2" s="10" t="s">
        <v>4</v>
      </c>
      <c r="C2" s="10" t="s">
        <v>5</v>
      </c>
      <c r="D2" s="10" t="s">
        <v>5</v>
      </c>
      <c r="E2" s="11" t="s">
        <v>6</v>
      </c>
      <c r="F2" s="12" t="s">
        <v>7</v>
      </c>
      <c r="G2" s="13" t="s">
        <v>8</v>
      </c>
      <c r="H2" s="14"/>
      <c r="I2" s="15" t="s">
        <v>9</v>
      </c>
      <c r="J2" s="13" t="s">
        <v>10</v>
      </c>
      <c r="K2" s="16"/>
      <c r="L2" s="15" t="s">
        <v>9</v>
      </c>
      <c r="M2" s="13" t="s">
        <v>10</v>
      </c>
      <c r="N2" s="16"/>
      <c r="O2" s="15" t="s">
        <v>9</v>
      </c>
      <c r="P2" s="13" t="s">
        <v>10</v>
      </c>
      <c r="Q2" s="17"/>
    </row>
    <row r="3" spans="1:17" x14ac:dyDescent="0.25">
      <c r="A3" s="19">
        <v>1</v>
      </c>
      <c r="B3" s="19">
        <v>1</v>
      </c>
      <c r="C3" s="19">
        <v>1</v>
      </c>
      <c r="D3" s="19">
        <v>1</v>
      </c>
      <c r="E3" s="2" t="s">
        <v>11</v>
      </c>
      <c r="F3" s="20">
        <v>44742</v>
      </c>
      <c r="G3" s="21">
        <f t="shared" ref="G3:G10" si="0">SUM(J3+M3+P3)</f>
        <v>30520</v>
      </c>
      <c r="H3" s="22"/>
      <c r="I3" s="23">
        <v>2</v>
      </c>
      <c r="J3" s="24">
        <f t="shared" ref="J3:J9" si="1">J$1*I3</f>
        <v>2800</v>
      </c>
      <c r="K3" s="25"/>
      <c r="L3" s="23">
        <v>7</v>
      </c>
      <c r="M3" s="24">
        <f t="shared" ref="M3:M9" si="2">M$1*L3</f>
        <v>10920</v>
      </c>
      <c r="N3" s="26"/>
      <c r="O3" s="23">
        <v>12</v>
      </c>
      <c r="P3" s="24">
        <f t="shared" ref="P3:P9" si="3">P$1*O3</f>
        <v>16800</v>
      </c>
    </row>
    <row r="4" spans="1:17" x14ac:dyDescent="0.25">
      <c r="A4" s="19">
        <v>2</v>
      </c>
      <c r="B4" s="19">
        <v>1</v>
      </c>
      <c r="C4" s="19">
        <v>1</v>
      </c>
      <c r="D4" s="19">
        <v>1</v>
      </c>
      <c r="E4" s="2" t="s">
        <v>12</v>
      </c>
      <c r="F4" s="20">
        <v>44742</v>
      </c>
      <c r="G4" s="21">
        <f t="shared" si="0"/>
        <v>13940</v>
      </c>
      <c r="H4" s="22"/>
      <c r="I4" s="23">
        <v>0.5</v>
      </c>
      <c r="J4" s="24">
        <f t="shared" si="1"/>
        <v>700</v>
      </c>
      <c r="K4" s="25"/>
      <c r="L4" s="23">
        <v>4</v>
      </c>
      <c r="M4" s="24">
        <f t="shared" si="2"/>
        <v>6240</v>
      </c>
      <c r="N4" s="26"/>
      <c r="O4" s="23">
        <v>5</v>
      </c>
      <c r="P4" s="24">
        <f t="shared" si="3"/>
        <v>7000</v>
      </c>
    </row>
    <row r="5" spans="1:17" x14ac:dyDescent="0.25">
      <c r="A5" s="19">
        <v>3</v>
      </c>
      <c r="B5" s="19">
        <v>2</v>
      </c>
      <c r="C5" s="19">
        <v>1</v>
      </c>
      <c r="D5" s="19">
        <v>1</v>
      </c>
      <c r="E5" s="2" t="s">
        <v>45</v>
      </c>
      <c r="F5" s="20">
        <v>44742</v>
      </c>
      <c r="G5" s="21">
        <f t="shared" si="0"/>
        <v>6540</v>
      </c>
      <c r="H5" s="22"/>
      <c r="I5" s="23">
        <v>1</v>
      </c>
      <c r="J5" s="24">
        <f t="shared" si="1"/>
        <v>1400</v>
      </c>
      <c r="K5" s="25"/>
      <c r="L5" s="23">
        <v>1.5</v>
      </c>
      <c r="M5" s="24">
        <f t="shared" si="2"/>
        <v>2340</v>
      </c>
      <c r="N5" s="26"/>
      <c r="O5" s="23">
        <v>2</v>
      </c>
      <c r="P5" s="24">
        <f t="shared" si="3"/>
        <v>2800</v>
      </c>
    </row>
    <row r="6" spans="1:17" x14ac:dyDescent="0.25">
      <c r="A6" s="19">
        <v>4</v>
      </c>
      <c r="B6" s="19">
        <v>3</v>
      </c>
      <c r="C6" s="19">
        <v>1</v>
      </c>
      <c r="D6" s="19">
        <v>1</v>
      </c>
      <c r="E6" s="2" t="s">
        <v>13</v>
      </c>
      <c r="F6" s="20">
        <v>44742</v>
      </c>
      <c r="G6" s="21">
        <f t="shared" si="0"/>
        <v>5840</v>
      </c>
      <c r="H6" s="22"/>
      <c r="I6" s="23">
        <v>0.5</v>
      </c>
      <c r="J6" s="24">
        <f t="shared" si="1"/>
        <v>700</v>
      </c>
      <c r="K6" s="25"/>
      <c r="L6" s="23">
        <v>1.5</v>
      </c>
      <c r="M6" s="24">
        <f t="shared" si="2"/>
        <v>2340</v>
      </c>
      <c r="N6" s="26"/>
      <c r="O6" s="23">
        <v>2</v>
      </c>
      <c r="P6" s="24">
        <f t="shared" si="3"/>
        <v>2800</v>
      </c>
    </row>
    <row r="7" spans="1:17" x14ac:dyDescent="0.25">
      <c r="A7" s="19">
        <v>5</v>
      </c>
      <c r="B7" s="19">
        <v>3</v>
      </c>
      <c r="C7" s="19">
        <v>1</v>
      </c>
      <c r="D7" s="19">
        <v>2</v>
      </c>
      <c r="E7" s="2" t="s">
        <v>14</v>
      </c>
      <c r="F7" s="20">
        <v>44864</v>
      </c>
      <c r="G7" s="21">
        <f t="shared" si="0"/>
        <v>3660</v>
      </c>
      <c r="H7" s="22"/>
      <c r="I7" s="23">
        <v>0.5</v>
      </c>
      <c r="J7" s="24">
        <f t="shared" si="1"/>
        <v>700</v>
      </c>
      <c r="K7" s="27"/>
      <c r="L7" s="23">
        <v>1</v>
      </c>
      <c r="M7" s="24">
        <f t="shared" si="2"/>
        <v>1560</v>
      </c>
      <c r="N7" s="28"/>
      <c r="O7" s="23">
        <v>1</v>
      </c>
      <c r="P7" s="24">
        <f t="shared" si="3"/>
        <v>1400</v>
      </c>
    </row>
    <row r="8" spans="1:17" s="29" customFormat="1" x14ac:dyDescent="0.25">
      <c r="A8" s="19">
        <v>6</v>
      </c>
      <c r="B8" s="19">
        <v>3</v>
      </c>
      <c r="C8" s="19">
        <v>1</v>
      </c>
      <c r="D8" s="19">
        <v>3</v>
      </c>
      <c r="E8" s="50" t="s">
        <v>15</v>
      </c>
      <c r="F8" s="20">
        <v>44864</v>
      </c>
      <c r="G8" s="21">
        <f t="shared" si="0"/>
        <v>2180</v>
      </c>
      <c r="H8" s="22"/>
      <c r="I8" s="23">
        <v>0.5</v>
      </c>
      <c r="J8" s="24">
        <f t="shared" si="1"/>
        <v>700</v>
      </c>
      <c r="K8" s="27"/>
      <c r="L8" s="23">
        <v>0.5</v>
      </c>
      <c r="M8" s="24">
        <f t="shared" si="2"/>
        <v>780</v>
      </c>
      <c r="N8" s="28"/>
      <c r="O8" s="23">
        <v>0.5</v>
      </c>
      <c r="P8" s="24">
        <f t="shared" si="3"/>
        <v>700</v>
      </c>
      <c r="Q8" s="5"/>
    </row>
    <row r="9" spans="1:17" s="29" customFormat="1" x14ac:dyDescent="0.2">
      <c r="A9" s="36">
        <v>7</v>
      </c>
      <c r="B9" s="36">
        <v>3</v>
      </c>
      <c r="C9" s="36"/>
      <c r="D9" s="36">
        <v>4</v>
      </c>
      <c r="E9" s="49" t="s">
        <v>43</v>
      </c>
      <c r="F9" s="20">
        <v>44911</v>
      </c>
      <c r="G9" s="21">
        <f t="shared" si="0"/>
        <v>3270</v>
      </c>
      <c r="H9" s="22"/>
      <c r="I9" s="23">
        <v>0.75</v>
      </c>
      <c r="J9" s="24">
        <f t="shared" si="1"/>
        <v>1050</v>
      </c>
      <c r="K9" s="27"/>
      <c r="L9" s="23">
        <v>0.75</v>
      </c>
      <c r="M9" s="24">
        <f t="shared" si="2"/>
        <v>1170</v>
      </c>
      <c r="N9" s="28"/>
      <c r="O9" s="23">
        <v>0.75</v>
      </c>
      <c r="P9" s="24">
        <f t="shared" si="3"/>
        <v>1050</v>
      </c>
      <c r="Q9" s="43"/>
    </row>
    <row r="10" spans="1:17" x14ac:dyDescent="0.25">
      <c r="A10" s="30"/>
      <c r="B10" s="31" t="s">
        <v>16</v>
      </c>
      <c r="C10" s="31"/>
      <c r="D10" s="31"/>
      <c r="E10" s="32"/>
      <c r="F10" s="33"/>
      <c r="G10" s="34">
        <f t="shared" si="0"/>
        <v>65950</v>
      </c>
      <c r="H10" s="22"/>
      <c r="I10" s="35">
        <f>SUM(I3:I9)</f>
        <v>5.75</v>
      </c>
      <c r="J10" s="34">
        <f>SUM(J3:J9)</f>
        <v>8050</v>
      </c>
      <c r="K10" s="22"/>
      <c r="L10" s="35">
        <f>SUM(L3:L9)</f>
        <v>16.25</v>
      </c>
      <c r="M10" s="34">
        <f>SUM(M3:M9)</f>
        <v>25350</v>
      </c>
      <c r="N10" s="22"/>
      <c r="O10" s="35">
        <f>SUM(O3:O9)</f>
        <v>23.25</v>
      </c>
      <c r="P10" s="34">
        <f>SUM(P3:P9)</f>
        <v>32550</v>
      </c>
    </row>
    <row r="12" spans="1:17" x14ac:dyDescent="0.25">
      <c r="F12" s="47" t="s">
        <v>44</v>
      </c>
      <c r="G12" s="51">
        <f>G9/G10</f>
        <v>4.9583017437452616E-2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zoomScaleNormal="100" workbookViewId="0"/>
  </sheetViews>
  <sheetFormatPr defaultColWidth="9.140625" defaultRowHeight="15" x14ac:dyDescent="0.25"/>
  <cols>
    <col min="1" max="1" width="11.140625" style="1" customWidth="1"/>
    <col min="2" max="2" width="10" style="1" customWidth="1"/>
    <col min="3" max="3" width="12.42578125" style="1" hidden="1" customWidth="1"/>
    <col min="4" max="4" width="123.28515625" style="2" customWidth="1"/>
    <col min="5" max="5" width="12.5703125" style="3" customWidth="1"/>
    <col min="6" max="6" width="11.5703125" style="2" customWidth="1"/>
    <col min="7" max="7" width="0.85546875" style="2" customWidth="1"/>
    <col min="8" max="8" width="9.140625" style="4"/>
    <col min="9" max="9" width="10.140625" style="2" customWidth="1"/>
    <col min="10" max="10" width="0.85546875" style="2" customWidth="1"/>
    <col min="11" max="11" width="9.140625" style="4"/>
    <col min="12" max="12" width="10.140625" style="2" customWidth="1"/>
    <col min="13" max="13" width="0.85546875" style="2" customWidth="1"/>
    <col min="14" max="14" width="11" style="2" customWidth="1"/>
    <col min="15" max="15" width="9.140625" style="2"/>
    <col min="16" max="16" width="0.85546875" style="5" customWidth="1"/>
    <col min="17" max="17" width="11" style="2" customWidth="1"/>
    <col min="18" max="18" width="9.140625" style="2"/>
    <col min="19" max="19" width="0.85546875" style="5" customWidth="1"/>
    <col min="20" max="1024" width="9.140625" style="2"/>
  </cols>
  <sheetData>
    <row r="1" spans="1:19" x14ac:dyDescent="0.25">
      <c r="F1" s="6"/>
      <c r="G1" s="6"/>
      <c r="H1" s="7" t="s">
        <v>0</v>
      </c>
      <c r="I1" s="8">
        <v>1400</v>
      </c>
      <c r="J1" s="9"/>
      <c r="K1" s="7" t="s">
        <v>1</v>
      </c>
      <c r="L1" s="8">
        <v>1560</v>
      </c>
      <c r="M1" s="6"/>
      <c r="N1" s="7" t="s">
        <v>2</v>
      </c>
      <c r="O1" s="8">
        <v>1400</v>
      </c>
      <c r="Q1" s="7" t="s">
        <v>17</v>
      </c>
      <c r="R1" s="8">
        <v>1400</v>
      </c>
    </row>
    <row r="2" spans="1:19" s="18" customFormat="1" ht="30.75" customHeight="1" x14ac:dyDescent="0.25">
      <c r="A2" s="10" t="s">
        <v>3</v>
      </c>
      <c r="B2" s="10" t="s">
        <v>4</v>
      </c>
      <c r="C2" s="10" t="s">
        <v>5</v>
      </c>
      <c r="D2" s="11" t="s">
        <v>6</v>
      </c>
      <c r="E2" s="12" t="s">
        <v>7</v>
      </c>
      <c r="F2" s="13" t="s">
        <v>8</v>
      </c>
      <c r="G2" s="14"/>
      <c r="H2" s="15" t="s">
        <v>9</v>
      </c>
      <c r="I2" s="13" t="s">
        <v>10</v>
      </c>
      <c r="J2" s="16"/>
      <c r="K2" s="15" t="s">
        <v>9</v>
      </c>
      <c r="L2" s="13" t="s">
        <v>10</v>
      </c>
      <c r="M2" s="16"/>
      <c r="N2" s="15" t="s">
        <v>9</v>
      </c>
      <c r="O2" s="13" t="s">
        <v>10</v>
      </c>
      <c r="P2" s="17"/>
      <c r="Q2" s="15" t="s">
        <v>9</v>
      </c>
      <c r="R2" s="13" t="s">
        <v>10</v>
      </c>
      <c r="S2" s="17"/>
    </row>
    <row r="3" spans="1:19" x14ac:dyDescent="0.25">
      <c r="A3" s="19">
        <v>1</v>
      </c>
      <c r="B3" s="19">
        <v>1</v>
      </c>
      <c r="C3" s="19">
        <v>1</v>
      </c>
      <c r="D3" s="2" t="s">
        <v>18</v>
      </c>
      <c r="E3" s="20">
        <v>44530</v>
      </c>
      <c r="F3" s="21">
        <f>I3+L3+O3+R3</f>
        <v>1286</v>
      </c>
      <c r="G3" s="22"/>
      <c r="H3" s="23">
        <v>0.125</v>
      </c>
      <c r="I3" s="24">
        <f>I$1*H3</f>
        <v>175</v>
      </c>
      <c r="J3" s="25"/>
      <c r="K3" s="23">
        <v>0.6</v>
      </c>
      <c r="L3" s="24">
        <f>L$1*K3</f>
        <v>936</v>
      </c>
      <c r="M3" s="26"/>
      <c r="N3" s="23">
        <v>0.125</v>
      </c>
      <c r="O3" s="24">
        <f>O$1*N3</f>
        <v>175</v>
      </c>
      <c r="Q3" s="23">
        <v>0</v>
      </c>
      <c r="R3" s="24">
        <f>R$1*Q3</f>
        <v>0</v>
      </c>
    </row>
    <row r="4" spans="1:19" x14ac:dyDescent="0.25">
      <c r="A4" s="19">
        <v>2</v>
      </c>
      <c r="B4" s="19">
        <v>1</v>
      </c>
      <c r="C4" s="19">
        <v>1</v>
      </c>
      <c r="D4" s="2" t="s">
        <v>19</v>
      </c>
      <c r="E4" s="20">
        <v>44620</v>
      </c>
      <c r="F4" s="21">
        <f>I4+L4+O4+R4</f>
        <v>8500</v>
      </c>
      <c r="G4" s="22"/>
      <c r="H4" s="23">
        <v>0.5</v>
      </c>
      <c r="I4" s="24">
        <f>I$1*H4</f>
        <v>700</v>
      </c>
      <c r="J4" s="25"/>
      <c r="K4" s="23">
        <v>5</v>
      </c>
      <c r="L4" s="24">
        <f>L$1*K4</f>
        <v>7800</v>
      </c>
      <c r="M4" s="26"/>
      <c r="N4" s="23">
        <v>0</v>
      </c>
      <c r="O4" s="24">
        <f>O$1*N4</f>
        <v>0</v>
      </c>
      <c r="Q4" s="23">
        <v>0</v>
      </c>
      <c r="R4" s="24">
        <f>R$1*Q4</f>
        <v>0</v>
      </c>
    </row>
    <row r="5" spans="1:19" x14ac:dyDescent="0.25">
      <c r="A5" s="19">
        <v>3</v>
      </c>
      <c r="B5" s="19">
        <v>1</v>
      </c>
      <c r="C5" s="19">
        <v>1</v>
      </c>
      <c r="D5" s="2" t="s">
        <v>20</v>
      </c>
      <c r="E5" s="20">
        <v>44620</v>
      </c>
      <c r="F5" s="21">
        <f>I5+L5+O5+R5</f>
        <v>9040</v>
      </c>
      <c r="G5" s="22"/>
      <c r="H5" s="23">
        <v>0</v>
      </c>
      <c r="I5" s="24">
        <f>I$1*H5</f>
        <v>0</v>
      </c>
      <c r="J5" s="25"/>
      <c r="K5" s="23">
        <v>4</v>
      </c>
      <c r="L5" s="24">
        <f>L$1*K5</f>
        <v>6240</v>
      </c>
      <c r="M5" s="26"/>
      <c r="N5" s="23">
        <v>2</v>
      </c>
      <c r="O5" s="24">
        <f>O$1*N5</f>
        <v>2800</v>
      </c>
      <c r="Q5" s="23">
        <v>0</v>
      </c>
      <c r="R5" s="24">
        <f>R$1*Q5</f>
        <v>0</v>
      </c>
    </row>
    <row r="6" spans="1:19" x14ac:dyDescent="0.25">
      <c r="A6" s="19">
        <v>4</v>
      </c>
      <c r="B6" s="19">
        <v>1</v>
      </c>
      <c r="C6" s="19">
        <v>1</v>
      </c>
      <c r="D6" s="2" t="s">
        <v>21</v>
      </c>
      <c r="E6" s="20">
        <v>44620</v>
      </c>
      <c r="F6" s="21">
        <f>I6+L6+O6+R6</f>
        <v>10384</v>
      </c>
      <c r="G6" s="22"/>
      <c r="H6" s="23">
        <v>0.4</v>
      </c>
      <c r="I6" s="24">
        <f>I$1*H6</f>
        <v>560</v>
      </c>
      <c r="J6" s="25"/>
      <c r="K6" s="23">
        <v>5.4</v>
      </c>
      <c r="L6" s="24">
        <f>L$1*K6</f>
        <v>8424</v>
      </c>
      <c r="M6" s="26"/>
      <c r="N6" s="23">
        <v>0</v>
      </c>
      <c r="O6" s="24">
        <f>O$1*N6</f>
        <v>0</v>
      </c>
      <c r="Q6" s="23">
        <v>1</v>
      </c>
      <c r="R6" s="24">
        <f>R$1*Q6</f>
        <v>1400</v>
      </c>
    </row>
    <row r="7" spans="1:19" x14ac:dyDescent="0.25">
      <c r="A7" s="19">
        <v>5</v>
      </c>
      <c r="B7" s="19">
        <v>1</v>
      </c>
      <c r="C7" s="19">
        <v>1</v>
      </c>
      <c r="D7" s="2" t="s">
        <v>22</v>
      </c>
      <c r="E7" s="20">
        <v>44620</v>
      </c>
      <c r="F7" s="21">
        <f>I7+L7+O7+R7</f>
        <v>1560</v>
      </c>
      <c r="G7" s="22"/>
      <c r="H7" s="23">
        <v>0</v>
      </c>
      <c r="I7" s="24">
        <f>I$1*H7</f>
        <v>0</v>
      </c>
      <c r="J7" s="27"/>
      <c r="K7" s="23">
        <v>1</v>
      </c>
      <c r="L7" s="24">
        <f>L$1*K7</f>
        <v>1560</v>
      </c>
      <c r="M7" s="28"/>
      <c r="N7" s="23">
        <v>0</v>
      </c>
      <c r="O7" s="24">
        <f>O$1*N7</f>
        <v>0</v>
      </c>
      <c r="Q7" s="23">
        <v>0</v>
      </c>
      <c r="R7" s="24">
        <f>R$1*Q7</f>
        <v>0</v>
      </c>
    </row>
    <row r="8" spans="1:19" x14ac:dyDescent="0.25">
      <c r="A8" s="36"/>
      <c r="B8" s="36"/>
      <c r="C8" s="36"/>
      <c r="D8" s="37" t="s">
        <v>23</v>
      </c>
      <c r="E8" s="38"/>
      <c r="F8" s="39">
        <f>SUM(F3:F7)</f>
        <v>30770</v>
      </c>
      <c r="G8" s="22"/>
      <c r="H8" s="40">
        <f>SUM(H3:H7)</f>
        <v>1.0249999999999999</v>
      </c>
      <c r="I8" s="41">
        <f>SUM(I3:I7)</f>
        <v>1435</v>
      </c>
      <c r="J8" s="22"/>
      <c r="K8" s="40">
        <f>SUM(K3:K7)</f>
        <v>16</v>
      </c>
      <c r="L8" s="41">
        <f>SUM(L3:L7)</f>
        <v>24960</v>
      </c>
      <c r="M8" s="22"/>
      <c r="N8" s="40">
        <f>SUM(N3:N7)</f>
        <v>2.125</v>
      </c>
      <c r="O8" s="41">
        <f>SUM(O3:O7)</f>
        <v>2975</v>
      </c>
      <c r="Q8" s="40">
        <f>SUM(Q3:Q7)</f>
        <v>1</v>
      </c>
      <c r="R8" s="41">
        <f>SUM(R3:R7)</f>
        <v>1400</v>
      </c>
    </row>
    <row r="9" spans="1:19" x14ac:dyDescent="0.25">
      <c r="A9" s="19">
        <v>6</v>
      </c>
      <c r="B9" s="19">
        <v>2</v>
      </c>
      <c r="C9" s="19">
        <v>1</v>
      </c>
      <c r="D9" s="2" t="s">
        <v>24</v>
      </c>
      <c r="E9" s="20">
        <v>44681</v>
      </c>
      <c r="F9" s="21">
        <f>I9+L9+O9+R9</f>
        <v>29480</v>
      </c>
      <c r="G9" s="22"/>
      <c r="H9" s="23">
        <v>1</v>
      </c>
      <c r="I9" s="24">
        <f>I$1*H9</f>
        <v>1400</v>
      </c>
      <c r="J9" s="22"/>
      <c r="K9" s="23">
        <v>18</v>
      </c>
      <c r="L9" s="24">
        <f>L$1*K9</f>
        <v>28080</v>
      </c>
      <c r="M9" s="22"/>
      <c r="N9" s="23">
        <v>0</v>
      </c>
      <c r="O9" s="24">
        <f>O$1*N9</f>
        <v>0</v>
      </c>
      <c r="Q9" s="23">
        <v>0</v>
      </c>
      <c r="R9" s="24">
        <f>R$1*Q9</f>
        <v>0</v>
      </c>
    </row>
    <row r="10" spans="1:19" x14ac:dyDescent="0.25">
      <c r="A10" s="19">
        <v>7</v>
      </c>
      <c r="B10" s="19">
        <v>2</v>
      </c>
      <c r="C10" s="19">
        <v>1</v>
      </c>
      <c r="D10" s="2" t="s">
        <v>25</v>
      </c>
      <c r="E10" s="20">
        <v>44681</v>
      </c>
      <c r="F10" s="21">
        <f>I10+L10+O10+R10</f>
        <v>2960</v>
      </c>
      <c r="G10" s="22"/>
      <c r="H10" s="23">
        <v>0.5</v>
      </c>
      <c r="I10" s="24">
        <f>I$1*H10</f>
        <v>700</v>
      </c>
      <c r="J10" s="22"/>
      <c r="K10" s="23">
        <v>1</v>
      </c>
      <c r="L10" s="24">
        <f>L$1*K10</f>
        <v>1560</v>
      </c>
      <c r="M10" s="22"/>
      <c r="N10" s="23">
        <v>0.5</v>
      </c>
      <c r="O10" s="24">
        <f>O$1*N10</f>
        <v>700</v>
      </c>
      <c r="Q10" s="23">
        <v>0</v>
      </c>
      <c r="R10" s="24">
        <f>R$1*Q10</f>
        <v>0</v>
      </c>
    </row>
    <row r="11" spans="1:19" x14ac:dyDescent="0.25">
      <c r="A11" s="36"/>
      <c r="B11" s="36"/>
      <c r="C11" s="36"/>
      <c r="D11" s="37" t="s">
        <v>23</v>
      </c>
      <c r="E11" s="38"/>
      <c r="F11" s="39">
        <f>SUM(F9:F10)</f>
        <v>32440</v>
      </c>
      <c r="G11" s="22"/>
      <c r="H11" s="40">
        <f>SUM(H9:H10)</f>
        <v>1.5</v>
      </c>
      <c r="I11" s="41">
        <f>SUM(I9:I10)</f>
        <v>2100</v>
      </c>
      <c r="J11" s="22"/>
      <c r="K11" s="40">
        <f>SUM(K9:K10)</f>
        <v>19</v>
      </c>
      <c r="L11" s="41">
        <f>SUM(L9:L10)</f>
        <v>29640</v>
      </c>
      <c r="M11" s="22"/>
      <c r="N11" s="40">
        <f>SUM(N9:N10)</f>
        <v>0.5</v>
      </c>
      <c r="O11" s="41">
        <f>SUM(O9:O10)</f>
        <v>700</v>
      </c>
      <c r="Q11" s="40">
        <f>SUM(Q9:Q10)</f>
        <v>0</v>
      </c>
      <c r="R11" s="41">
        <f>SUM(R9:R10)</f>
        <v>0</v>
      </c>
    </row>
    <row r="12" spans="1:19" x14ac:dyDescent="0.25">
      <c r="A12" s="19">
        <v>8</v>
      </c>
      <c r="B12" s="19" t="s">
        <v>26</v>
      </c>
      <c r="C12" s="19">
        <v>2</v>
      </c>
      <c r="D12" s="2" t="s">
        <v>27</v>
      </c>
      <c r="E12" s="20">
        <v>44681</v>
      </c>
      <c r="F12" s="21">
        <f>I12+L12+O12+R12</f>
        <v>1092</v>
      </c>
      <c r="G12" s="22"/>
      <c r="H12" s="23">
        <v>0</v>
      </c>
      <c r="I12" s="24">
        <f>I$1*H12</f>
        <v>0</v>
      </c>
      <c r="J12" s="22"/>
      <c r="K12" s="23">
        <v>0.7</v>
      </c>
      <c r="L12" s="24">
        <f>L$1*K12</f>
        <v>1092</v>
      </c>
      <c r="M12" s="22"/>
      <c r="N12" s="23">
        <v>0</v>
      </c>
      <c r="O12" s="24">
        <f>O$1*N12</f>
        <v>0</v>
      </c>
      <c r="Q12" s="23">
        <v>0</v>
      </c>
      <c r="R12" s="24">
        <f>R$1*Q12</f>
        <v>0</v>
      </c>
    </row>
    <row r="13" spans="1:19" x14ac:dyDescent="0.25">
      <c r="A13" s="19">
        <v>9</v>
      </c>
      <c r="B13" s="19" t="s">
        <v>26</v>
      </c>
      <c r="C13" s="19">
        <v>3</v>
      </c>
      <c r="D13" s="2" t="s">
        <v>28</v>
      </c>
      <c r="E13" s="20">
        <v>44804</v>
      </c>
      <c r="F13" s="21">
        <f>I13+L13+O13+R13</f>
        <v>10480</v>
      </c>
      <c r="G13" s="22"/>
      <c r="H13" s="23">
        <v>0.3</v>
      </c>
      <c r="I13" s="24">
        <f>I$1*H13</f>
        <v>420</v>
      </c>
      <c r="J13" s="22"/>
      <c r="K13" s="23">
        <v>6</v>
      </c>
      <c r="L13" s="24">
        <f>L$1*K13</f>
        <v>9360</v>
      </c>
      <c r="M13" s="22"/>
      <c r="N13" s="23">
        <v>0.5</v>
      </c>
      <c r="O13" s="24">
        <f>O$1*N13</f>
        <v>700</v>
      </c>
      <c r="Q13" s="23">
        <v>0</v>
      </c>
      <c r="R13" s="24">
        <f>R$1*Q13</f>
        <v>0</v>
      </c>
    </row>
    <row r="14" spans="1:19" x14ac:dyDescent="0.25">
      <c r="A14" s="19">
        <v>10</v>
      </c>
      <c r="B14" s="19" t="s">
        <v>26</v>
      </c>
      <c r="C14" s="19">
        <v>4</v>
      </c>
      <c r="D14" s="2" t="s">
        <v>29</v>
      </c>
      <c r="E14" s="20">
        <v>44804</v>
      </c>
      <c r="F14" s="21">
        <f>I14+L14+O14+R14</f>
        <v>1060</v>
      </c>
      <c r="G14" s="22"/>
      <c r="H14" s="23">
        <v>0.2</v>
      </c>
      <c r="I14" s="24">
        <f>I$1*H14</f>
        <v>280</v>
      </c>
      <c r="J14" s="22"/>
      <c r="K14" s="23">
        <v>0.5</v>
      </c>
      <c r="L14" s="24">
        <f>L$1*K14</f>
        <v>780</v>
      </c>
      <c r="M14" s="22"/>
      <c r="N14" s="23">
        <v>0</v>
      </c>
      <c r="O14" s="24">
        <f>O$1*N14</f>
        <v>0</v>
      </c>
      <c r="Q14" s="23">
        <v>0</v>
      </c>
      <c r="R14" s="24">
        <f>R$1*Q14</f>
        <v>0</v>
      </c>
    </row>
    <row r="15" spans="1:19" x14ac:dyDescent="0.25">
      <c r="A15" s="19">
        <v>11</v>
      </c>
      <c r="B15" s="19" t="s">
        <v>30</v>
      </c>
      <c r="C15" s="19">
        <v>4</v>
      </c>
      <c r="D15" s="2" t="s">
        <v>31</v>
      </c>
      <c r="E15" s="20">
        <v>44834</v>
      </c>
      <c r="F15" s="21">
        <f>I15+L15+O15+R15</f>
        <v>4075</v>
      </c>
      <c r="G15" s="22"/>
      <c r="H15" s="23">
        <v>0</v>
      </c>
      <c r="I15" s="24">
        <f>I$1*H15</f>
        <v>0</v>
      </c>
      <c r="J15" s="22"/>
      <c r="K15" s="23">
        <v>2.5</v>
      </c>
      <c r="L15" s="24">
        <f>L$1*K15</f>
        <v>3900</v>
      </c>
      <c r="M15" s="22"/>
      <c r="N15" s="23">
        <v>0.125</v>
      </c>
      <c r="O15" s="24">
        <f>O$1*N15</f>
        <v>175</v>
      </c>
      <c r="Q15" s="23">
        <v>0</v>
      </c>
      <c r="R15" s="24">
        <f>R$1*Q15</f>
        <v>0</v>
      </c>
    </row>
    <row r="16" spans="1:19" x14ac:dyDescent="0.25">
      <c r="A16" s="36"/>
      <c r="B16" s="36"/>
      <c r="C16" s="36"/>
      <c r="D16" s="37" t="s">
        <v>23</v>
      </c>
      <c r="E16" s="38"/>
      <c r="F16" s="39">
        <f>SUM(F12:F15)</f>
        <v>16707</v>
      </c>
      <c r="G16" s="22"/>
      <c r="H16" s="40">
        <f>SUM(H12:H15)</f>
        <v>0.5</v>
      </c>
      <c r="I16" s="41">
        <f>SUM(I12:I15)</f>
        <v>700</v>
      </c>
      <c r="J16" s="22"/>
      <c r="K16" s="40">
        <f>SUM(K12:K15)</f>
        <v>9.6999999999999993</v>
      </c>
      <c r="L16" s="41">
        <f>SUM(L12:L15)</f>
        <v>15132</v>
      </c>
      <c r="M16" s="22"/>
      <c r="N16" s="40">
        <f>SUM(N12:N15)</f>
        <v>0.625</v>
      </c>
      <c r="O16" s="41">
        <f>SUM(O12:O15)</f>
        <v>875</v>
      </c>
      <c r="Q16" s="40">
        <f>SUM(Q12:Q15)</f>
        <v>0</v>
      </c>
      <c r="R16" s="41">
        <f>SUM(R12:R15)</f>
        <v>0</v>
      </c>
    </row>
    <row r="17" spans="1:21" x14ac:dyDescent="0.25">
      <c r="A17" s="30"/>
      <c r="B17" s="31" t="s">
        <v>16</v>
      </c>
      <c r="C17" s="31"/>
      <c r="D17" s="32"/>
      <c r="E17" s="33"/>
      <c r="F17" s="34">
        <f>+F16+F11+F8</f>
        <v>79917</v>
      </c>
      <c r="G17" s="22"/>
      <c r="H17" s="35">
        <f>+H16+H11+H8</f>
        <v>3.0249999999999999</v>
      </c>
      <c r="I17" s="34">
        <f>+I16+I11+I8</f>
        <v>4235</v>
      </c>
      <c r="J17" s="22"/>
      <c r="K17" s="35">
        <f>+K16+K11+K8</f>
        <v>44.7</v>
      </c>
      <c r="L17" s="34">
        <f>+L16+L11+L8</f>
        <v>69732</v>
      </c>
      <c r="M17" s="22"/>
      <c r="N17" s="35">
        <f>+N16+N11+N8</f>
        <v>3.25</v>
      </c>
      <c r="O17" s="34">
        <f>+O16+O11+O8</f>
        <v>4550</v>
      </c>
      <c r="Q17" s="35">
        <f>+Q16+Q11+Q8</f>
        <v>1</v>
      </c>
      <c r="R17" s="34">
        <f>+R16+R11+R8</f>
        <v>1400</v>
      </c>
    </row>
    <row r="18" spans="1:21" x14ac:dyDescent="0.25">
      <c r="A18" s="30"/>
      <c r="B18" s="30" t="s">
        <v>32</v>
      </c>
      <c r="C18" s="31"/>
      <c r="D18" s="32"/>
      <c r="E18" s="33"/>
      <c r="F18" s="34"/>
      <c r="G18" s="22"/>
      <c r="H18" s="35"/>
      <c r="I18" s="34"/>
      <c r="J18" s="22"/>
      <c r="K18" s="35"/>
      <c r="L18" s="34"/>
      <c r="M18" s="22"/>
      <c r="N18" s="35"/>
      <c r="O18" s="34"/>
      <c r="Q18" s="35"/>
      <c r="R18" s="34"/>
    </row>
    <row r="19" spans="1:21" s="18" customFormat="1" x14ac:dyDescent="0.25">
      <c r="A19" s="19">
        <v>12</v>
      </c>
      <c r="B19" s="19">
        <v>1</v>
      </c>
      <c r="C19" s="19">
        <v>1</v>
      </c>
      <c r="D19" s="18" t="s">
        <v>33</v>
      </c>
      <c r="E19" s="20" t="s">
        <v>34</v>
      </c>
      <c r="F19" s="21">
        <f>I19+L19+O19</f>
        <v>0</v>
      </c>
      <c r="G19" s="42"/>
      <c r="H19" s="23">
        <v>0</v>
      </c>
      <c r="I19" s="24">
        <f>I$1*H19</f>
        <v>0</v>
      </c>
      <c r="J19" s="27"/>
      <c r="K19" s="23">
        <v>0</v>
      </c>
      <c r="L19" s="24">
        <f>L$1*K19</f>
        <v>0</v>
      </c>
      <c r="M19" s="28"/>
      <c r="N19" s="23">
        <v>0</v>
      </c>
      <c r="O19" s="24">
        <f>O$1*N19</f>
        <v>0</v>
      </c>
      <c r="P19" s="43"/>
      <c r="Q19" s="23">
        <v>0</v>
      </c>
      <c r="R19" s="24">
        <f>R$1*Q19</f>
        <v>0</v>
      </c>
      <c r="S19" s="43"/>
      <c r="T19" s="2"/>
      <c r="U19" s="2"/>
    </row>
    <row r="20" spans="1:21" s="18" customFormat="1" x14ac:dyDescent="0.25">
      <c r="A20" s="19">
        <v>13</v>
      </c>
      <c r="B20" s="19">
        <v>2</v>
      </c>
      <c r="C20" s="19">
        <v>1</v>
      </c>
      <c r="D20" s="18" t="s">
        <v>35</v>
      </c>
      <c r="E20" s="20">
        <v>44742</v>
      </c>
      <c r="F20" s="21">
        <f>I20+L20+O20</f>
        <v>22600</v>
      </c>
      <c r="G20" s="42"/>
      <c r="H20" s="23">
        <v>0.5</v>
      </c>
      <c r="I20" s="24">
        <f>I$1*H20</f>
        <v>700</v>
      </c>
      <c r="J20" s="42"/>
      <c r="K20" s="23">
        <v>10</v>
      </c>
      <c r="L20" s="24">
        <f>L$1*K20</f>
        <v>15600</v>
      </c>
      <c r="M20" s="42"/>
      <c r="N20" s="23">
        <v>4.5</v>
      </c>
      <c r="O20" s="24">
        <f>O$1*N20</f>
        <v>6300</v>
      </c>
      <c r="P20" s="43"/>
      <c r="Q20" s="23">
        <v>0</v>
      </c>
      <c r="R20" s="24">
        <f>R$1*Q20</f>
        <v>0</v>
      </c>
      <c r="S20" s="43"/>
      <c r="T20" s="2"/>
      <c r="U20" s="2"/>
    </row>
    <row r="21" spans="1:21" s="18" customFormat="1" x14ac:dyDescent="0.25">
      <c r="A21" s="19">
        <v>14</v>
      </c>
      <c r="B21" s="19">
        <v>2</v>
      </c>
      <c r="C21" s="19">
        <v>1</v>
      </c>
      <c r="D21" s="18" t="s">
        <v>36</v>
      </c>
      <c r="E21" s="20">
        <v>44681</v>
      </c>
      <c r="F21" s="21">
        <f>I21+L21+O21</f>
        <v>26920</v>
      </c>
      <c r="G21" s="42"/>
      <c r="H21" s="23">
        <v>1</v>
      </c>
      <c r="I21" s="24">
        <f>I$1*H21</f>
        <v>1400</v>
      </c>
      <c r="J21" s="42"/>
      <c r="K21" s="23">
        <v>2</v>
      </c>
      <c r="L21" s="24">
        <f>L$1*K21</f>
        <v>3120</v>
      </c>
      <c r="M21" s="42"/>
      <c r="N21" s="23">
        <v>16</v>
      </c>
      <c r="O21" s="24">
        <f>O$1*N21</f>
        <v>22400</v>
      </c>
      <c r="P21" s="43"/>
      <c r="Q21" s="23">
        <v>0</v>
      </c>
      <c r="R21" s="24">
        <f>R$1*Q21</f>
        <v>0</v>
      </c>
      <c r="S21" s="43"/>
      <c r="T21" s="2"/>
      <c r="U21" s="2"/>
    </row>
    <row r="23" spans="1:21" x14ac:dyDescent="0.25">
      <c r="F23" s="2" t="s">
        <v>37</v>
      </c>
      <c r="H23" s="44">
        <f>F8/F17</f>
        <v>0.38502446288023823</v>
      </c>
      <c r="L23" s="45"/>
      <c r="N23" s="46"/>
      <c r="Q23" s="46"/>
    </row>
    <row r="24" spans="1:21" x14ac:dyDescent="0.25">
      <c r="F24" s="2" t="s">
        <v>38</v>
      </c>
      <c r="H24" s="44">
        <f>(F11+F16)/F17</f>
        <v>0.61497553711976172</v>
      </c>
    </row>
    <row r="26" spans="1:21" x14ac:dyDescent="0.25">
      <c r="D26" s="34" t="s">
        <v>39</v>
      </c>
      <c r="E26" s="34">
        <v>75000</v>
      </c>
      <c r="F26" s="45">
        <f>E26-F17</f>
        <v>-4917</v>
      </c>
    </row>
    <row r="27" spans="1:21" x14ac:dyDescent="0.25">
      <c r="D27" s="34" t="s">
        <v>40</v>
      </c>
      <c r="E27" s="34">
        <f>E26*1.1</f>
        <v>82500</v>
      </c>
      <c r="F27" s="45">
        <f>E27-F17</f>
        <v>2583</v>
      </c>
    </row>
    <row r="28" spans="1:21" x14ac:dyDescent="0.25">
      <c r="F28" s="45"/>
    </row>
    <row r="29" spans="1:21" x14ac:dyDescent="0.25">
      <c r="E29" s="47" t="s">
        <v>41</v>
      </c>
      <c r="F29" s="48">
        <f>F15/F17*100</f>
        <v>5.0990402542637989</v>
      </c>
      <c r="H29" s="4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Alistair Dunn</dc:creator>
  <dc:description/>
  <cp:lastModifiedBy>Alistair Dunn</cp:lastModifiedBy>
  <cp:revision>1</cp:revision>
  <dcterms:created xsi:type="dcterms:W3CDTF">2019-07-20T01:13:24Z</dcterms:created>
  <dcterms:modified xsi:type="dcterms:W3CDTF">2022-04-04T22:51:35Z</dcterms:modified>
  <dc:language>en-NZ</dc:language>
</cp:coreProperties>
</file>